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o.suni\Desktop\"/>
    </mc:Choice>
  </mc:AlternateContent>
  <xr:revisionPtr revIDLastSave="0" documentId="8_{86D5CD21-98C7-4134-B6CB-7828B1620F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õltsamaa vald UUS" sheetId="3" r:id="rId1"/>
    <sheet name="Põltsamaa linn 2007-2016" sheetId="10" r:id="rId2"/>
    <sheet name="Põltsamaa vald_endine" sheetId="4" r:id="rId3"/>
    <sheet name="Puurmani 05-16" sheetId="8" r:id="rId4"/>
    <sheet name="Pajusi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0" l="1"/>
  <c r="E16" i="10"/>
  <c r="E15" i="10"/>
  <c r="E7" i="10"/>
  <c r="D47" i="3" l="1"/>
  <c r="G47" i="3" s="1"/>
  <c r="D46" i="3"/>
  <c r="G46" i="3" s="1"/>
  <c r="E48" i="3"/>
  <c r="G48" i="3"/>
  <c r="D49" i="3"/>
  <c r="E49" i="3" s="1"/>
  <c r="E46" i="3" l="1"/>
  <c r="E47" i="3"/>
  <c r="G49" i="3"/>
  <c r="A17" i="3" l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G39" i="3"/>
  <c r="E39" i="3"/>
  <c r="D45" i="3"/>
  <c r="G45" i="3" s="1"/>
  <c r="D43" i="3"/>
  <c r="G43" i="3" s="1"/>
  <c r="D28" i="3"/>
  <c r="F28" i="3"/>
  <c r="E16" i="3"/>
  <c r="G16" i="3"/>
  <c r="A46" i="3" l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G28" i="3"/>
  <c r="E45" i="3"/>
  <c r="E43" i="3"/>
  <c r="E28" i="3"/>
  <c r="F58" i="3" l="1"/>
  <c r="E12" i="8" l="1"/>
  <c r="C12" i="8"/>
  <c r="D51" i="3"/>
  <c r="G51" i="3" s="1"/>
  <c r="G19" i="3"/>
  <c r="G17" i="3"/>
  <c r="G18" i="3"/>
  <c r="G27" i="3"/>
  <c r="G40" i="3"/>
  <c r="G26" i="3"/>
  <c r="G29" i="3"/>
  <c r="G36" i="3"/>
  <c r="G24" i="3"/>
  <c r="G25" i="3"/>
  <c r="G56" i="3"/>
  <c r="G37" i="3"/>
  <c r="G57" i="3"/>
  <c r="G23" i="3"/>
  <c r="G30" i="3"/>
  <c r="G35" i="3"/>
  <c r="G32" i="3"/>
  <c r="G33" i="3"/>
  <c r="G34" i="3"/>
  <c r="G31" i="3"/>
  <c r="G52" i="3"/>
  <c r="G53" i="3"/>
  <c r="G38" i="3"/>
  <c r="G41" i="3"/>
  <c r="G21" i="3"/>
  <c r="G20" i="3"/>
  <c r="G22" i="3"/>
  <c r="G42" i="3"/>
  <c r="D55" i="3"/>
  <c r="G55" i="3" s="1"/>
  <c r="D50" i="3"/>
  <c r="E50" i="3" s="1"/>
  <c r="D44" i="3"/>
  <c r="D54" i="3"/>
  <c r="E20" i="3"/>
  <c r="E44" i="3" l="1"/>
  <c r="D58" i="3"/>
  <c r="G44" i="3"/>
  <c r="G50" i="3"/>
  <c r="E55" i="3"/>
  <c r="G54" i="3"/>
  <c r="E21" i="3"/>
  <c r="E38" i="3"/>
  <c r="G58" i="3" l="1"/>
  <c r="E17" i="3" l="1"/>
  <c r="E18" i="3"/>
  <c r="E19" i="3"/>
  <c r="D5" i="4"/>
  <c r="D7" i="4"/>
  <c r="D6" i="4"/>
  <c r="E52" i="3" l="1"/>
  <c r="E53" i="3"/>
  <c r="E6" i="9" l="1"/>
  <c r="C6" i="9"/>
  <c r="D5" i="9"/>
  <c r="D4" i="9"/>
  <c r="D6" i="9" s="1"/>
  <c r="D6" i="8"/>
  <c r="D7" i="8"/>
  <c r="D8" i="8"/>
  <c r="D9" i="8"/>
  <c r="D5" i="8"/>
  <c r="D12" i="8" s="1"/>
  <c r="E27" i="3" l="1"/>
  <c r="E40" i="3"/>
  <c r="E26" i="3"/>
  <c r="E29" i="3"/>
  <c r="E36" i="3"/>
  <c r="E24" i="3"/>
  <c r="E25" i="3"/>
  <c r="E56" i="3"/>
  <c r="E37" i="3"/>
  <c r="E57" i="3"/>
  <c r="E23" i="3"/>
  <c r="E30" i="3"/>
  <c r="E35" i="3"/>
  <c r="E32" i="3"/>
  <c r="E33" i="3"/>
  <c r="E34" i="3"/>
  <c r="E31" i="3"/>
  <c r="E58" i="3" l="1"/>
  <c r="D28" i="4"/>
  <c r="E29" i="4"/>
  <c r="D29" i="4" s="1"/>
  <c r="C50" i="4" l="1"/>
  <c r="E50" i="4" s="1"/>
  <c r="C49" i="4"/>
  <c r="E49" i="4" s="1"/>
  <c r="D49" i="4" s="1"/>
  <c r="C48" i="4"/>
  <c r="E48" i="4" s="1"/>
  <c r="D48" i="4" s="1"/>
  <c r="C47" i="4"/>
  <c r="E47" i="4" s="1"/>
  <c r="C53" i="4"/>
  <c r="E53" i="4" s="1"/>
  <c r="D53" i="4" s="1"/>
  <c r="C52" i="4"/>
  <c r="E52" i="4" s="1"/>
  <c r="C51" i="4"/>
  <c r="E51" i="4" s="1"/>
  <c r="D11" i="4"/>
  <c r="D10" i="4"/>
  <c r="D50" i="4" l="1"/>
  <c r="D51" i="4"/>
  <c r="D52" i="4"/>
  <c r="D47" i="4"/>
  <c r="C46" i="4" l="1"/>
  <c r="C15" i="4"/>
  <c r="D15" i="4" s="1"/>
  <c r="C40" i="4"/>
  <c r="E40" i="4" s="1"/>
  <c r="D40" i="4" s="1"/>
  <c r="E42" i="4"/>
  <c r="C42" i="4"/>
  <c r="D42" i="4" l="1"/>
  <c r="E46" i="4"/>
  <c r="D46" i="4" s="1"/>
  <c r="C41" i="4"/>
  <c r="E41" i="4" s="1"/>
  <c r="E45" i="4"/>
  <c r="D45" i="4" s="1"/>
  <c r="C44" i="4"/>
  <c r="C39" i="4"/>
  <c r="E39" i="4" s="1"/>
  <c r="E38" i="4"/>
  <c r="D38" i="4" s="1"/>
  <c r="C37" i="4"/>
  <c r="E37" i="4" s="1"/>
  <c r="C36" i="4"/>
  <c r="E36" i="4" s="1"/>
  <c r="E35" i="4"/>
  <c r="C35" i="4"/>
  <c r="C34" i="4"/>
  <c r="E34" i="4" s="1"/>
  <c r="C33" i="4"/>
  <c r="C32" i="4"/>
  <c r="E32" i="4" s="1"/>
  <c r="C31" i="4"/>
  <c r="E19" i="4"/>
  <c r="D19" i="4" s="1"/>
  <c r="D9" i="4"/>
  <c r="C30" i="4"/>
  <c r="E30" i="4" s="1"/>
  <c r="C14" i="4"/>
  <c r="D14" i="4" s="1"/>
  <c r="C13" i="4"/>
  <c r="C54" i="4" s="1"/>
  <c r="C16" i="4"/>
  <c r="D16" i="4" s="1"/>
  <c r="D18" i="4"/>
  <c r="C18" i="4"/>
  <c r="D17" i="4"/>
  <c r="D13" i="4" l="1"/>
  <c r="D34" i="4"/>
  <c r="D35" i="4"/>
  <c r="D36" i="4"/>
  <c r="D41" i="4"/>
  <c r="D32" i="4"/>
  <c r="E31" i="4"/>
  <c r="D31" i="4" s="1"/>
  <c r="E33" i="4"/>
  <c r="D33" i="4" s="1"/>
  <c r="D37" i="4"/>
  <c r="D39" i="4"/>
  <c r="E44" i="4"/>
  <c r="D44" i="4" s="1"/>
  <c r="D30" i="4"/>
  <c r="E18" i="4"/>
  <c r="D54" i="4" l="1"/>
  <c r="E26" i="4" l="1"/>
  <c r="E27" i="4"/>
  <c r="E54" i="4" l="1"/>
</calcChain>
</file>

<file path=xl/sharedStrings.xml><?xml version="1.0" encoding="utf-8"?>
<sst xmlns="http://schemas.openxmlformats.org/spreadsheetml/2006/main" count="675" uniqueCount="324">
  <si>
    <t>Projekti nimi</t>
  </si>
  <si>
    <t>Omafinantseering</t>
  </si>
  <si>
    <t>Kamari paisjärve supelranna ehitus</t>
  </si>
  <si>
    <t>KIK</t>
  </si>
  <si>
    <t>Muinsuskaitseamet</t>
  </si>
  <si>
    <t>Lustivere mõisa abihoone katus</t>
  </si>
  <si>
    <t>Norra FM</t>
  </si>
  <si>
    <t>Põltsamaa linna ning ümbritsevate valdade baasil koostöö-piirkonna loomine täiendavate ühiste avalik teenuste pakkumiseks ja kvaliteedi tõstmiseks</t>
  </si>
  <si>
    <t>Comenius Regio</t>
  </si>
  <si>
    <t>Regional learning experiences and enviormental learning between Põltsamaa and Mänttä-Vilppula</t>
  </si>
  <si>
    <t>Adavere staadioni rekonstrueerimine I etapp</t>
  </si>
  <si>
    <t>Lustivere multifunktsionaalse mänguväljaku ehitus</t>
  </si>
  <si>
    <t>Adavere Mõisa Selts</t>
  </si>
  <si>
    <t>Põltsamaa valla haldusvõimekuse suurendamine ja koostöö tõhustamine</t>
  </si>
  <si>
    <t>Kuningamäe puhkeala veereservuaari ehitamine</t>
  </si>
  <si>
    <t>Jäätmejaama varikatuse ehitus</t>
  </si>
  <si>
    <t>Valla eripiirkondadesse mitmekesiste vabaajaveetmise vahendite ostmine</t>
  </si>
  <si>
    <t>Kuningamäe puhkeala teviseraja arendamine</t>
  </si>
  <si>
    <t>Adavere staadionile ohutus-piirde matid</t>
  </si>
  <si>
    <t>Lustivere mõisapargi dendrohinnangu ja uuenduskava koostamine</t>
  </si>
  <si>
    <t>Kamari puhkeala laiendamine</t>
  </si>
  <si>
    <t>Kuningamäe arendus</t>
  </si>
  <si>
    <t>Kergtee ehitamine Ametikoolist Kamari puhkealani</t>
  </si>
  <si>
    <t>Esku reoveekogumisala kanalisatsioonitrassi ehitus</t>
  </si>
  <si>
    <t>Lustivere reoveekogumisala kanalisatsioonitrassi ehitus</t>
  </si>
  <si>
    <t>Kamari paisjärvede paisudele kalapääsude ehitamine</t>
  </si>
  <si>
    <t>Adavere lasteaia mänguväljaku rekonstrueerimine</t>
  </si>
  <si>
    <t>Infotahvlid küladess</t>
  </si>
  <si>
    <t>Põltsamaa Vallavalitsus</t>
  </si>
  <si>
    <t>Põltsamaa piirkonda Kuningamäele kunstlume valmistamise seadmete soetamine</t>
  </si>
  <si>
    <t>Võisiku külamaja katus</t>
  </si>
  <si>
    <t>Põltsamaa vald kokku</t>
  </si>
  <si>
    <t>PRIA, vald</t>
  </si>
  <si>
    <t>1.05.2011-30.04.2012</t>
  </si>
  <si>
    <t>Adavere jõusaali rajamine</t>
  </si>
  <si>
    <t>1.05.2011-31.12.2011</t>
  </si>
  <si>
    <t>1.05.2011-31.01.2012</t>
  </si>
  <si>
    <t>1.04.2011-30.09.2011</t>
  </si>
  <si>
    <t>1.07.2011-10.12.2011</t>
  </si>
  <si>
    <t>KIK, vald</t>
  </si>
  <si>
    <t>1.06.2011-31.12.2012</t>
  </si>
  <si>
    <t>1.07.2011-31.08.2011</t>
  </si>
  <si>
    <t>keskkond</t>
  </si>
  <si>
    <t>Kamari taimestiku hooldusniitmine</t>
  </si>
  <si>
    <t>01.04.2011-28.06.2011</t>
  </si>
  <si>
    <t xml:space="preserve">KIK, vald  </t>
  </si>
  <si>
    <t>Projekti periood</t>
  </si>
  <si>
    <t>Rahastajad</t>
  </si>
  <si>
    <t>Tegevusvaldkond</t>
  </si>
  <si>
    <t>Taotleja/ kaas-finantseerija</t>
  </si>
  <si>
    <t>1.10.2011-30.06.2013</t>
  </si>
  <si>
    <t>infrastruktuur</t>
  </si>
  <si>
    <t>EL Ühtekuuluvus-fond /KIK</t>
  </si>
  <si>
    <t>Põltsamaa jõe seisundi parandamine Kamari paisjärvede alavees</t>
  </si>
  <si>
    <t xml:space="preserve">
302 572,00
 </t>
  </si>
  <si>
    <t>Põltsamaa vald</t>
  </si>
  <si>
    <t xml:space="preserve">19.12.2014-
31.12.2015
 </t>
  </si>
  <si>
    <t>Esku-Kamari Kooli Esku mänguväljaku rekonstrueerimine</t>
  </si>
  <si>
    <t>15.05.-31.10.2014</t>
  </si>
  <si>
    <t>Lustivere Külaselts/ Põltsamaa vald</t>
  </si>
  <si>
    <t>Lustivere kultuurimaja renoveerimistööde 5. etapp (sh katuse rekonstrueerimise lõpetamine)</t>
  </si>
  <si>
    <t>15.10.2013 - 14.11.2014</t>
  </si>
  <si>
    <t>Staatus</t>
  </si>
  <si>
    <t>Lustivere kultuurimaja renoveerimistööde 4. etapp (katuse rekonstrueerimine)</t>
  </si>
  <si>
    <t>Lustivere kultuurimaja renoveerimise III etapi käigus abiruumide ja katuse rekonstrueerimine (ca 1/2 katusest)</t>
  </si>
  <si>
    <t>Leader, PRIA</t>
  </si>
  <si>
    <t xml:space="preserve">Lustivere kult.maja rekonstrueerimine II etapp (tuletõrje- ja valvesignalisatsioon ning renoveeritakse elektrisüsteem + helivõimendussüsteemi soetamine) </t>
  </si>
  <si>
    <t>PRIA, Meede 3.2</t>
  </si>
  <si>
    <t>Lustivere kultuurimaja renoveerimise I etapp</t>
  </si>
  <si>
    <t>PRIA Meede 3.2, vald</t>
  </si>
  <si>
    <t>Lustivere Kultuurimaja rekonstrueerimisprojekti koostamine</t>
  </si>
  <si>
    <t>2010-2011</t>
  </si>
  <si>
    <t xml:space="preserve">PÕLTSAMAA VALLA PROJEKTID PERIOODIL 2007- 2014 </t>
  </si>
  <si>
    <t>Võisiku külamaja elekter ja automaatne tulekahju, valvesign.</t>
  </si>
  <si>
    <t>ERF, Piirkonna konkurentsivõime/EAS</t>
  </si>
  <si>
    <t>01.07.2009 – 30.08.2010</t>
  </si>
  <si>
    <t>1.09.2012-31.12.2012</t>
  </si>
  <si>
    <t>01.05.2015-30.11.2012</t>
  </si>
  <si>
    <t>Regionaalsed investeeringud/ EAS</t>
  </si>
  <si>
    <t>01.01.2014-30.09.2015</t>
  </si>
  <si>
    <t>Kergliiklusteede toetusskeem/ EAS</t>
  </si>
  <si>
    <t>1.05.2011-31.08.2011</t>
  </si>
  <si>
    <t>Kamari HS / Põltsamaa vald</t>
  </si>
  <si>
    <t>2009-2010</t>
  </si>
  <si>
    <t>Põltsamaa valla SK "Tervis"/ Põltsamaa vald</t>
  </si>
  <si>
    <t>JAEK/ Põltsamaa vald</t>
  </si>
  <si>
    <t>Võisiku Külaselts</t>
  </si>
  <si>
    <t>Haldussuutlikkuse meede/ Riigikantselei</t>
  </si>
  <si>
    <t>SK NIPI/ Põltsamaa vald</t>
  </si>
  <si>
    <t xml:space="preserve">PRIA, Leader </t>
  </si>
  <si>
    <t>SK Mix</t>
  </si>
  <si>
    <t>Regionaalsed invest./ EAS</t>
  </si>
  <si>
    <t>Keskkonnaprogramm/ KIK</t>
  </si>
  <si>
    <t>Leader/ PRIA</t>
  </si>
  <si>
    <t>Põltsamaa linn/ Põltsamaa vald</t>
  </si>
  <si>
    <t>SK Nipi/ Põltsamaa vald</t>
  </si>
  <si>
    <t>elukeskkond (vabaaeg, haridus jm)</t>
  </si>
  <si>
    <t>01.09.2013-31.12.2013</t>
  </si>
  <si>
    <t>Võisiku KS/ Põltsamaa vald</t>
  </si>
  <si>
    <t>haldussuutlikkus</t>
  </si>
  <si>
    <t>Sporditarvikud, s.h. Kamari pallimänguväljakute tarvikud (väravad, postid jm)</t>
  </si>
  <si>
    <t>(Investeeringuteprojektid summas alates 5000 eurot)</t>
  </si>
  <si>
    <t>Lustivere reoveepuhasti rekonstrueerimine</t>
  </si>
  <si>
    <t>Kamari külamaja renoveerimine 2 etappi</t>
  </si>
  <si>
    <t>2007-2009</t>
  </si>
  <si>
    <t>Adavere mõisa peahoone renoveerimistööd</t>
  </si>
  <si>
    <t>Kultuuriminis-teerium</t>
  </si>
  <si>
    <t>Sotsiaalkorterite renoveerimine</t>
  </si>
  <si>
    <t>Kredex</t>
  </si>
  <si>
    <t>80 paari uiske valla spordiklubile</t>
  </si>
  <si>
    <t>Lustivere mõisasse tegevusteraapiakeskuse rajamine</t>
  </si>
  <si>
    <t>Lustivere Hooldekodu</t>
  </si>
  <si>
    <t>Kamari seltsimaja haljastus</t>
  </si>
  <si>
    <t>Adavere õpilaskodu juurde mänguväljak</t>
  </si>
  <si>
    <t>PRIA</t>
  </si>
  <si>
    <t>Adavere Mõisa Selts/Põltsamaa vald</t>
  </si>
  <si>
    <t>Tenniseväljaku ja lasteaia mänguväljaku rajamine</t>
  </si>
  <si>
    <t>Kogumaksumus, EUR</t>
  </si>
  <si>
    <t>Omafinantseering, EUR</t>
  </si>
  <si>
    <t>Toetuse summa, EUR</t>
  </si>
  <si>
    <t>Rahastajad/ Rakendusüksus</t>
  </si>
  <si>
    <t>CO2</t>
  </si>
  <si>
    <t>2011-2012</t>
  </si>
  <si>
    <t xml:space="preserve">Lustivere Hooldekodu aknad ja uksed </t>
  </si>
  <si>
    <t xml:space="preserve">
Adavere Õpilaskodu 
</t>
  </si>
  <si>
    <t>Põltsamaa veemajanduse projekti II etapp</t>
  </si>
  <si>
    <t>Põltsamaa Varahalduse OÜ</t>
  </si>
  <si>
    <t>08.10.2019 – 31.03.2022</t>
  </si>
  <si>
    <t>Toetuse määr %</t>
  </si>
  <si>
    <t>Toetuse summa €</t>
  </si>
  <si>
    <t>Kogumaksumus €</t>
  </si>
  <si>
    <t>Põltsamaa piirkonnas ÜVK teenuse osutamiseks seadmete ja traktori soetamine</t>
  </si>
  <si>
    <t>Põltsamaa valla vee-ja kanalisatsioonisüsteemide rekonstrueerimine 2. osa</t>
  </si>
  <si>
    <t>Põltsamaa, Kolga-Jaani ja Pajusi valla ühisveevärgi ja kanalisatsioonisüsteemide rekonstrueerimine</t>
  </si>
  <si>
    <t>Adavere ja Võhmanõmme tänavavalgustuste taristu renoveerimine</t>
  </si>
  <si>
    <t>Kamari järve veekeskuse rajamine</t>
  </si>
  <si>
    <t>Põltsamaa valla tänavavalgustuse renoveerimine</t>
  </si>
  <si>
    <t>17.06.2015 – 22.12.2015</t>
  </si>
  <si>
    <t>05.07.2013 – 31.10.2015</t>
  </si>
  <si>
    <t>18.11.2009 – 30.06.2014</t>
  </si>
  <si>
    <t>01.05.2017 – 28.06.2019</t>
  </si>
  <si>
    <t>01.08.2017 – 31.07.2020</t>
  </si>
  <si>
    <t>01.06.2019 – 30.11.2021</t>
  </si>
  <si>
    <t>PÕLTSAMAA ESMATASANDI TERVISEKESKUSE LOOMINE</t>
  </si>
  <si>
    <t>Sihtasutus Põltsamaa Tervis</t>
  </si>
  <si>
    <t>15.04.2015 – 31.10.2019</t>
  </si>
  <si>
    <t>RTK/ERDF</t>
  </si>
  <si>
    <t>KIK/CF</t>
  </si>
  <si>
    <t>Puurmani, Adavere, Lustivere ja Esku-Kamari kooli õpetajate pädevuste täiendamine õpilaste individuaalsel arendamisel - innovaatilised meetodid</t>
  </si>
  <si>
    <t>Innove/ESF</t>
  </si>
  <si>
    <t>Puurmani Mõisakool</t>
  </si>
  <si>
    <t>01.03.2017 – 31.01.2018</t>
  </si>
  <si>
    <t>Põltsamaa-Pisisaare ühenduse arendamine</t>
  </si>
  <si>
    <t>Põltsamaa silla ja Lossi tänava rekonstrueerimine</t>
  </si>
  <si>
    <t>Põltsamaa linna, Põltsamaa, Pajusi, Puurmani, Imavere, Kõo valdade ja Võhma linna ühinemise koordineerimine</t>
  </si>
  <si>
    <t>Tehnoloogiaalased praktilised oskused Põltsamaa ÜG mehhatroonikaringist</t>
  </si>
  <si>
    <t>Ühinevate omavalitsuste strateegiate ja poliitikate ühtlustamine haldusvõimekuse tõstmiseks</t>
  </si>
  <si>
    <t>Annikvere jalg- ja jalgrattatee ehitamine</t>
  </si>
  <si>
    <t>Põltsamaa valla puuetega inimeste eluasemete kohandamine</t>
  </si>
  <si>
    <t>Põltsamaa vallale, Mustvee vallale ja Elva vallale tugispetsialistide teenuse juhtimis- ja teenuseosutamise struktuuri ja teenuse osutamise mudeli väljatöötamine</t>
  </si>
  <si>
    <t>Ettevõtlikkus - edu võti</t>
  </si>
  <si>
    <t>Väikelahendused HEV õpilaste integreerimiseks Põltsamaa valla koolides</t>
  </si>
  <si>
    <t>Põltsamaa valla üldplaneeringu koostamiseks vajalike uuringute teostamine</t>
  </si>
  <si>
    <t>01.07.2016 – 20.11.2017</t>
  </si>
  <si>
    <t>01.03.2016 – 30.12.2017</t>
  </si>
  <si>
    <t>01.02.2016 – 31.12.2016</t>
  </si>
  <si>
    <t>06.03.2017 – 30.06.2020</t>
  </si>
  <si>
    <t>01.11.2016 – 31.12.2017</t>
  </si>
  <si>
    <t>10.04.2017 – 03.09.2018</t>
  </si>
  <si>
    <t>01.06.2018 – 31.07.2019</t>
  </si>
  <si>
    <t>15.01.2019 – 31.12.2019</t>
  </si>
  <si>
    <t>01.02.2019 – 31.12.2020</t>
  </si>
  <si>
    <t>01.02.2019 – 31.12.2019</t>
  </si>
  <si>
    <t>11.09.2018 – 31.12.2020</t>
  </si>
  <si>
    <t>Archimedes/ERDF</t>
  </si>
  <si>
    <t>RTK/ESF</t>
  </si>
  <si>
    <t>Innove/ERDF</t>
  </si>
  <si>
    <t>Sotsiaal</t>
  </si>
  <si>
    <t>Põltsamaa Ühisgümnaasiumi õpilaskodu 3. korruse remont</t>
  </si>
  <si>
    <t>01.03.2018 - 01.09.2019</t>
  </si>
  <si>
    <t>RTK/ regionaalsed investeeringud</t>
  </si>
  <si>
    <t>Põltsamaa valla puuetega inimeste eluasemete kohandamine 2019</t>
  </si>
  <si>
    <t>01.08.2019 - 31.07.2021</t>
  </si>
  <si>
    <t>tuleb MUUDATUS</t>
  </si>
  <si>
    <t>rahastuse ootel</t>
  </si>
  <si>
    <t>Toetus</t>
  </si>
  <si>
    <t>Kalapääsu rajamine Puurmani paisule</t>
  </si>
  <si>
    <t>01.07.2013 – 30.11.2015</t>
  </si>
  <si>
    <t>Puurmani mõisapargi rekonstrueerimise I etapp</t>
  </si>
  <si>
    <t>01.07.2011 – 15.05.2012</t>
  </si>
  <si>
    <t>Puurmani kultuuri-ja vabaajakeskuse ehitus</t>
  </si>
  <si>
    <t>27.03.2015 – 16.10.2015</t>
  </si>
  <si>
    <t>Puurmani Keskkooli II põhikorruse renoveerimine</t>
  </si>
  <si>
    <t>29.07.2005 – 22.12.2005</t>
  </si>
  <si>
    <t>Puurmani valla soojusmajanduse arengukava 2017-2030 koostamine</t>
  </si>
  <si>
    <t>22.06.2016 – 22.12.2016</t>
  </si>
  <si>
    <t>Puurmani vald</t>
  </si>
  <si>
    <t>KIK/ERDF</t>
  </si>
  <si>
    <t>EAS/ERDF</t>
  </si>
  <si>
    <t>Rutikvere paisule kalapääsu rajamine</t>
  </si>
  <si>
    <t>Pajusi Valla tänavavalgustuse renoveerimine</t>
  </si>
  <si>
    <t>21.12.2014 – 31.12.2015</t>
  </si>
  <si>
    <t>01.08.2005 – 01.03.2006</t>
  </si>
  <si>
    <t>Pajusi vallavalitsus</t>
  </si>
  <si>
    <t>Nõmavere lauda lammutamine</t>
  </si>
  <si>
    <t>Esku keskuse ühislauda lammutamine</t>
  </si>
  <si>
    <t>LA Tõruke energiatõhusustööd</t>
  </si>
  <si>
    <t>Kuningamäe terviseradade arendus</t>
  </si>
  <si>
    <t>KOKKU</t>
  </si>
  <si>
    <t>Põltsamaa Vallavara OÜ /KOV</t>
  </si>
  <si>
    <t>Tallinna maantee transiit tee ehitus</t>
  </si>
  <si>
    <t>MKM</t>
  </si>
  <si>
    <t>Lossi tn ehitus</t>
  </si>
  <si>
    <t>Riik</t>
  </si>
  <si>
    <t>Kultuurikeskuse kinotehnika soetamine</t>
  </si>
  <si>
    <t>Kultuuriministeerium</t>
  </si>
  <si>
    <t>Toetuse osakaal</t>
  </si>
  <si>
    <t>Kalana küla ühisveevärgi ja -kanalisatsiooni taristu rekonstrueerimine</t>
  </si>
  <si>
    <t>Väike-Kamari küla ühisveevärgi ja -kanalisatsiooni taristu rekonstrueerimine</t>
  </si>
  <si>
    <t>Põltsamaa valla Võisiku küla ühisvee-ja kanalisatsioonirajatiste rekonstrueerimine</t>
  </si>
  <si>
    <t>01.2017-05.2019</t>
  </si>
  <si>
    <t>01.2016-05.2018</t>
  </si>
  <si>
    <t>Lõpetatud</t>
  </si>
  <si>
    <t>Teostamisel</t>
  </si>
  <si>
    <t>Välja tn ettevõtlustee ehitus</t>
  </si>
  <si>
    <t>Turismivõrgustiku koostöö "Põltsamaal on põnev!"</t>
  </si>
  <si>
    <t>Põltsamaa Vallavara OÜ/KOV</t>
  </si>
  <si>
    <t>Sihtasutus Põltsamaa Tervis/KOV</t>
  </si>
  <si>
    <t>Põltsamaa Kultuurikeskus</t>
  </si>
  <si>
    <t>Põltsamaa muuseumi ja turismiinfopunkti remont</t>
  </si>
  <si>
    <t>MATA</t>
  </si>
  <si>
    <t>Põltsamaa vallavalitsus</t>
  </si>
  <si>
    <t>Küsitav</t>
  </si>
  <si>
    <t>ERF</t>
  </si>
  <si>
    <t>Puurmani veemajandusprojekt</t>
  </si>
  <si>
    <t>Hajaasustusprojektid 2018; 2019</t>
  </si>
  <si>
    <t>Põltsamaale energiatõhusa hoolekandeüksuste rajamine (1. ja 2. teenusüksus - 2 eraldi projekti)</t>
  </si>
  <si>
    <t>Vabatahtlike parem kaasamine Põltsamaa vallas ja vabatahtlike panga loomine</t>
  </si>
  <si>
    <t>Kamari Veetrall</t>
  </si>
  <si>
    <t xml:space="preserve"> KAMARI HARIDUSSELTS </t>
  </si>
  <si>
    <t>Kamari järve äärde ronimis-, laskumis- ja vaatetorni rajamine</t>
  </si>
  <si>
    <t>Depoo juurdeehitus</t>
  </si>
  <si>
    <t>Teisaldatava välilava Dome ostmine</t>
  </si>
  <si>
    <t>Põltsamaa valla kohaturundusstrateegia ja brändi väljatöötamine</t>
  </si>
  <si>
    <t>Kamari kogukonnaköök-eluõppe labor</t>
  </si>
  <si>
    <t>Mobiilse lumekahurisüsteemi soetamine kunstlume tegemiseks</t>
  </si>
  <si>
    <t>SPORDIKLUBI NIPI</t>
  </si>
  <si>
    <t>Jrk.nr</t>
  </si>
  <si>
    <t>01.09.2019-31.08.2022</t>
  </si>
  <si>
    <t>alates 2007</t>
  </si>
  <si>
    <t>Ühisvee- ja kanalisatsioonisüsteemid</t>
  </si>
  <si>
    <t>Teed (s.h. jalgteed)</t>
  </si>
  <si>
    <t>Koguinvesteering</t>
  </si>
  <si>
    <t>Sotsiaal- ja tervishoid</t>
  </si>
  <si>
    <t>Haridus</t>
  </si>
  <si>
    <t>Vaba aeg</t>
  </si>
  <si>
    <t>Muu</t>
  </si>
  <si>
    <t>Omaosalus</t>
  </si>
  <si>
    <t>Tänavavalgustus</t>
  </si>
  <si>
    <t>Lõpetatud ja käimasolevad projektid</t>
  </si>
  <si>
    <t>Toetuse %</t>
  </si>
  <si>
    <t>Vaid valla eelarvest tehtud investeeringud</t>
  </si>
  <si>
    <t>Põltsamaa valla ühinemisjärgsed investeeringud valdkonniti (s.h. lõpetatud ja käimasolevad projektid koos vaid valla eelarvest tehtuga)</t>
  </si>
  <si>
    <t>2018-2019</t>
  </si>
  <si>
    <t>Riik/KOV</t>
  </si>
  <si>
    <t>2018-2022</t>
  </si>
  <si>
    <t>2019-2022</t>
  </si>
  <si>
    <t>2018-2020</t>
  </si>
  <si>
    <t>2017-2020</t>
  </si>
  <si>
    <t>2019-2021</t>
  </si>
  <si>
    <t>20117-2018</t>
  </si>
  <si>
    <t>01.07.201-30.09.2019</t>
  </si>
  <si>
    <t>019.09.2019-31.08.2020</t>
  </si>
  <si>
    <t>Põltsamaa Ühisgümnaasiumi Veski 5 õppehoone renoveerimine</t>
  </si>
  <si>
    <t>Põltsamaa Linnavalitsus</t>
  </si>
  <si>
    <t>15.01.2007 – 31.12.2009</t>
  </si>
  <si>
    <t>lõpetatud</t>
  </si>
  <si>
    <t>Päevakeskuse ja varjupaiga rajamine</t>
  </si>
  <si>
    <t>07.07.2010 – 31.12.2011</t>
  </si>
  <si>
    <t xml:space="preserve">Põltsamaa linna ning ümbritsevate valdade baasil koostööpiirkonna loomine täiendavate ühiste avalike teenuste pakkumiseks ning teenuste kvaliteedi tõstmiseks </t>
  </si>
  <si>
    <t>NORRA-EMP</t>
  </si>
  <si>
    <t>Põltsamaa linna ning selle lähiümbruse ühisveevärgi ja kanalisatsioonisüsteemide rekonstrueerimine ja laiendamine</t>
  </si>
  <si>
    <t>ÜF</t>
  </si>
  <si>
    <t>Põltsamaa Varahalduse OÜ/ Põltsamaa vald</t>
  </si>
  <si>
    <t>2008-2013</t>
  </si>
  <si>
    <t>Põltsamaa uue avatud noortekeskuse hoone renoveerimine ja infrastruktuuride kaasajastamine (avalik teenus- linn panustas omafinantseeringu)</t>
  </si>
  <si>
    <t>ERDF</t>
  </si>
  <si>
    <t xml:space="preserve"> MTÜ Juventus/Põltsamaa Linnavalitsus</t>
  </si>
  <si>
    <t>2008-2011</t>
  </si>
  <si>
    <t>Põltsamaa linna paisu renoveerimine ja kalapääsu rajamine</t>
  </si>
  <si>
    <t>10.03.2011 – 31.12.2013</t>
  </si>
  <si>
    <t>Põltsamaa Ühisgümnaasiumi Lille 2 õppehoone katuse ja fassaadi soojustamine</t>
  </si>
  <si>
    <t>Riverways</t>
  </si>
  <si>
    <t>ERDF/ Eesti-Läti</t>
  </si>
  <si>
    <t>Põltsamaa Linnavalitsus, Põltsamaa Vallavalitsus, Pajusi Vallavalitsus</t>
  </si>
  <si>
    <t>2013-2015</t>
  </si>
  <si>
    <t>Koostöö kvaliteetse hariduse tagamiseks riskilastele</t>
  </si>
  <si>
    <t>ERDF/ Est-Lat-Rus</t>
  </si>
  <si>
    <t>PÜG</t>
  </si>
  <si>
    <t>2013-2014</t>
  </si>
  <si>
    <t>Põltsamaa linna J. Kuperjanovi tn, Kingu tn ja Tartu mnt vahelise tööstusala  juurdepääsuteede rekonstrueerimine</t>
  </si>
  <si>
    <t>04.09.2013 – 30.09.2014</t>
  </si>
  <si>
    <t>Põltsamaa linna soojusmajanduse arengukava 2016-2026</t>
  </si>
  <si>
    <t>4999.54</t>
  </si>
  <si>
    <t>14.01.2016 - 30.11.2016</t>
  </si>
  <si>
    <t>Professionaalsete õpikogukondade loomine Põltsamaa Ühisgümnaasiumis</t>
  </si>
  <si>
    <t>Põltsamaa linn</t>
  </si>
  <si>
    <t>15.08.2016 – 14.10.2017</t>
  </si>
  <si>
    <t>Põltsamaa veearvestite soetamine</t>
  </si>
  <si>
    <t>Põltsamaa Varahalduse OÜ/ KOV</t>
  </si>
  <si>
    <t>19.06.2015 – 31.12.2015</t>
  </si>
  <si>
    <t>Põltsamaa linna Tallinna mnt ja Viljandi mtnt katete remonditööd</t>
  </si>
  <si>
    <t>MKM/ 256079</t>
  </si>
  <si>
    <t>Kesk- Eesti kunstigalerii rajamine Põltsamaa lossikompleksi</t>
  </si>
  <si>
    <t>piirkondade konkurentsivõime (väike)regionaalsete investeeringute toetus</t>
  </si>
  <si>
    <t>MTÜ Põöltsamaa Kunstiselts</t>
  </si>
  <si>
    <t>Janek Tombaku Jalgrattaklubi klubihoone rekonstrueerimine</t>
  </si>
  <si>
    <t>MTÜ Janek Tombaku JK</t>
  </si>
  <si>
    <t>Põltsamaa Tervisekeskuse renoveerimine</t>
  </si>
  <si>
    <t>SA Põltsamaa Tervis/ Põlts linn</t>
  </si>
  <si>
    <t>Põltsamaa Tervisekeskuse renoveerimine 2. etapp</t>
  </si>
  <si>
    <t>SA Põltsamaa Tervis/1011,53 linn; 3500 Põlts. Vald; 1000 Pajusi vald</t>
  </si>
  <si>
    <t>Põltsamaa Tervisekeskuse renoveerimine 3. etapp</t>
  </si>
  <si>
    <t>2074,48 linn; 1000 Põlts. vald; 1000 Pajusi vald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</si>
</sst>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9" x14ac:knownFonts="1">
    <font>
      <sz val="10"/>
      <name val="Arial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color rgb="FF2A2A2A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rgb="FF2A2A2A"/>
      <name val="Arial"/>
      <family val="2"/>
      <charset val="186"/>
    </font>
    <font>
      <b/>
      <u/>
      <sz val="10"/>
      <color rgb="FF0066FF"/>
      <name val="Arial"/>
      <family val="2"/>
      <charset val="186"/>
    </font>
    <font>
      <b/>
      <u/>
      <sz val="10"/>
      <color theme="1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1"/>
      <name val="Calibri"/>
      <family val="2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3" fillId="0" borderId="0"/>
    <xf numFmtId="0" fontId="8" fillId="0" borderId="0" applyNumberFormat="0" applyFill="0" applyBorder="0" applyAlignment="0" applyProtection="0"/>
    <xf numFmtId="0" fontId="14" fillId="0" borderId="0"/>
    <xf numFmtId="0" fontId="15" fillId="0" borderId="0"/>
    <xf numFmtId="9" fontId="19" fillId="0" borderId="0" applyFont="0" applyFill="0" applyBorder="0" applyAlignment="0" applyProtection="0"/>
  </cellStyleXfs>
  <cellXfs count="246">
    <xf numFmtId="0" fontId="0" fillId="0" borderId="0" xfId="0"/>
    <xf numFmtId="0" fontId="7" fillId="0" borderId="0" xfId="2" applyAlignment="1">
      <alignment horizontal="left"/>
    </xf>
    <xf numFmtId="3" fontId="7" fillId="0" borderId="0" xfId="2" applyNumberFormat="1" applyAlignment="1">
      <alignment horizontal="left"/>
    </xf>
    <xf numFmtId="0" fontId="7" fillId="0" borderId="0" xfId="2" applyBorder="1" applyAlignment="1">
      <alignment horizontal="left"/>
    </xf>
    <xf numFmtId="3" fontId="7" fillId="0" borderId="0" xfId="2" applyNumberForma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 wrapText="1"/>
    </xf>
    <xf numFmtId="0" fontId="3" fillId="0" borderId="1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left" wrapText="1"/>
    </xf>
    <xf numFmtId="0" fontId="3" fillId="3" borderId="1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 wrapText="1"/>
    </xf>
    <xf numFmtId="0" fontId="3" fillId="3" borderId="4" xfId="3" applyFont="1" applyFill="1" applyBorder="1" applyAlignment="1">
      <alignment horizontal="left"/>
    </xf>
    <xf numFmtId="0" fontId="3" fillId="3" borderId="4" xfId="3" applyFont="1" applyFill="1" applyBorder="1" applyAlignment="1">
      <alignment horizontal="left" wrapText="1"/>
    </xf>
    <xf numFmtId="0" fontId="3" fillId="0" borderId="3" xfId="3" applyFont="1" applyFill="1" applyBorder="1" applyAlignment="1">
      <alignment horizontal="left" wrapText="1"/>
    </xf>
    <xf numFmtId="0" fontId="4" fillId="4" borderId="1" xfId="2" applyFont="1" applyFill="1" applyBorder="1" applyAlignment="1">
      <alignment horizontal="left"/>
    </xf>
    <xf numFmtId="0" fontId="5" fillId="0" borderId="0" xfId="2" applyFont="1" applyAlignment="1">
      <alignment horizontal="left"/>
    </xf>
    <xf numFmtId="0" fontId="3" fillId="3" borderId="2" xfId="3" applyFont="1" applyFill="1" applyBorder="1" applyAlignment="1">
      <alignment horizontal="left" wrapText="1"/>
    </xf>
    <xf numFmtId="0" fontId="4" fillId="0" borderId="0" xfId="2" applyFont="1" applyAlignment="1">
      <alignment horizontal="left"/>
    </xf>
    <xf numFmtId="1" fontId="3" fillId="3" borderId="1" xfId="3" applyNumberFormat="1" applyFont="1" applyFill="1" applyBorder="1" applyAlignment="1">
      <alignment horizontal="left" wrapText="1"/>
    </xf>
    <xf numFmtId="1" fontId="3" fillId="3" borderId="1" xfId="3" applyNumberFormat="1" applyFont="1" applyFill="1" applyBorder="1" applyAlignment="1">
      <alignment horizontal="left"/>
    </xf>
    <xf numFmtId="0" fontId="3" fillId="2" borderId="6" xfId="3" applyFont="1" applyFill="1" applyBorder="1" applyAlignment="1">
      <alignment horizontal="left"/>
    </xf>
    <xf numFmtId="0" fontId="3" fillId="2" borderId="6" xfId="3" applyFont="1" applyFill="1" applyBorder="1" applyAlignment="1">
      <alignment horizontal="left" wrapText="1"/>
    </xf>
    <xf numFmtId="0" fontId="3" fillId="3" borderId="10" xfId="3" applyFont="1" applyFill="1" applyBorder="1" applyAlignment="1">
      <alignment horizontal="left" wrapText="1"/>
    </xf>
    <xf numFmtId="14" fontId="3" fillId="0" borderId="10" xfId="3" applyNumberFormat="1" applyBorder="1" applyAlignment="1">
      <alignment horizontal="left"/>
    </xf>
    <xf numFmtId="14" fontId="3" fillId="0" borderId="8" xfId="3" applyNumberFormat="1" applyBorder="1" applyAlignment="1">
      <alignment horizontal="left"/>
    </xf>
    <xf numFmtId="1" fontId="3" fillId="0" borderId="8" xfId="3" applyNumberFormat="1" applyBorder="1" applyAlignment="1">
      <alignment horizontal="left"/>
    </xf>
    <xf numFmtId="0" fontId="4" fillId="0" borderId="8" xfId="2" applyFont="1" applyBorder="1" applyAlignment="1">
      <alignment horizontal="left"/>
    </xf>
    <xf numFmtId="14" fontId="4" fillId="0" borderId="8" xfId="2" applyNumberFormat="1" applyFont="1" applyBorder="1" applyAlignment="1">
      <alignment horizontal="left"/>
    </xf>
    <xf numFmtId="3" fontId="4" fillId="0" borderId="8" xfId="2" applyNumberFormat="1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5" fillId="0" borderId="14" xfId="2" applyFont="1" applyBorder="1" applyAlignment="1">
      <alignment horizontal="left"/>
    </xf>
    <xf numFmtId="0" fontId="4" fillId="5" borderId="15" xfId="2" applyFont="1" applyFill="1" applyBorder="1" applyAlignment="1">
      <alignment horizontal="left"/>
    </xf>
    <xf numFmtId="0" fontId="2" fillId="8" borderId="6" xfId="3" applyFont="1" applyFill="1" applyBorder="1" applyAlignment="1">
      <alignment horizontal="left"/>
    </xf>
    <xf numFmtId="2" fontId="10" fillId="7" borderId="13" xfId="2" applyNumberFormat="1" applyFont="1" applyFill="1" applyBorder="1" applyAlignment="1">
      <alignment horizontal="left"/>
    </xf>
    <xf numFmtId="0" fontId="2" fillId="2" borderId="5" xfId="3" applyFont="1" applyFill="1" applyBorder="1" applyAlignment="1">
      <alignment horizontal="left"/>
    </xf>
    <xf numFmtId="0" fontId="12" fillId="6" borderId="7" xfId="4" applyFont="1" applyFill="1" applyBorder="1" applyAlignment="1">
      <alignment horizontal="left" wrapText="1"/>
    </xf>
    <xf numFmtId="0" fontId="5" fillId="6" borderId="9" xfId="4" applyFont="1" applyFill="1" applyBorder="1" applyAlignment="1">
      <alignment horizontal="left" wrapText="1"/>
    </xf>
    <xf numFmtId="0" fontId="13" fillId="7" borderId="9" xfId="4" applyFont="1" applyFill="1" applyBorder="1" applyAlignment="1">
      <alignment horizontal="left" wrapText="1"/>
    </xf>
    <xf numFmtId="0" fontId="5" fillId="7" borderId="9" xfId="4" applyFont="1" applyFill="1" applyBorder="1" applyAlignment="1">
      <alignment horizontal="left" wrapText="1"/>
    </xf>
    <xf numFmtId="0" fontId="5" fillId="7" borderId="7" xfId="4" applyFont="1" applyFill="1" applyBorder="1" applyAlignment="1">
      <alignment horizontal="left" wrapText="1"/>
    </xf>
    <xf numFmtId="0" fontId="5" fillId="7" borderId="7" xfId="2" applyFont="1" applyFill="1" applyBorder="1" applyAlignment="1">
      <alignment horizontal="left" wrapText="1"/>
    </xf>
    <xf numFmtId="3" fontId="2" fillId="7" borderId="7" xfId="3" applyNumberFormat="1" applyFont="1" applyFill="1" applyBorder="1" applyAlignment="1">
      <alignment horizontal="left" wrapText="1"/>
    </xf>
    <xf numFmtId="0" fontId="2" fillId="9" borderId="7" xfId="3" applyFont="1" applyFill="1" applyBorder="1" applyAlignment="1">
      <alignment horizontal="left" wrapText="1"/>
    </xf>
    <xf numFmtId="0" fontId="5" fillId="7" borderId="1" xfId="4" applyFont="1" applyFill="1" applyBorder="1" applyAlignment="1">
      <alignment horizontal="left" wrapText="1"/>
    </xf>
    <xf numFmtId="3" fontId="2" fillId="7" borderId="16" xfId="3" applyNumberFormat="1" applyFont="1" applyFill="1" applyBorder="1" applyAlignment="1">
      <alignment horizontal="left" wrapText="1"/>
    </xf>
    <xf numFmtId="0" fontId="4" fillId="0" borderId="4" xfId="2" applyFont="1" applyBorder="1" applyAlignment="1">
      <alignment horizontal="left"/>
    </xf>
    <xf numFmtId="0" fontId="4" fillId="0" borderId="17" xfId="2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4" fontId="3" fillId="0" borderId="1" xfId="3" applyNumberFormat="1" applyBorder="1" applyAlignment="1">
      <alignment horizontal="left"/>
    </xf>
    <xf numFmtId="0" fontId="14" fillId="0" borderId="0" xfId="5" applyFill="1" applyAlignment="1">
      <alignment wrapText="1"/>
    </xf>
    <xf numFmtId="0" fontId="4" fillId="0" borderId="0" xfId="0" applyFont="1"/>
    <xf numFmtId="6" fontId="14" fillId="0" borderId="0" xfId="5" applyNumberFormat="1" applyFill="1"/>
    <xf numFmtId="4" fontId="14" fillId="0" borderId="0" xfId="5" applyNumberFormat="1" applyFill="1"/>
    <xf numFmtId="8" fontId="0" fillId="0" borderId="0" xfId="0" applyNumberFormat="1"/>
    <xf numFmtId="6" fontId="0" fillId="0" borderId="0" xfId="0" applyNumberFormat="1"/>
    <xf numFmtId="4" fontId="0" fillId="0" borderId="0" xfId="0" applyNumberFormat="1"/>
    <xf numFmtId="0" fontId="0" fillId="0" borderId="1" xfId="0" applyBorder="1"/>
    <xf numFmtId="0" fontId="4" fillId="0" borderId="1" xfId="0" applyFont="1" applyBorder="1"/>
    <xf numFmtId="4" fontId="5" fillId="0" borderId="1" xfId="0" applyNumberFormat="1" applyFont="1" applyBorder="1"/>
    <xf numFmtId="6" fontId="5" fillId="0" borderId="1" xfId="0" applyNumberFormat="1" applyFont="1" applyBorder="1"/>
    <xf numFmtId="0" fontId="14" fillId="0" borderId="0" xfId="5" applyFill="1"/>
    <xf numFmtId="0" fontId="0" fillId="0" borderId="1" xfId="0" applyBorder="1" applyAlignment="1">
      <alignment wrapText="1"/>
    </xf>
    <xf numFmtId="0" fontId="2" fillId="2" borderId="1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/>
    </xf>
    <xf numFmtId="0" fontId="2" fillId="8" borderId="1" xfId="3" applyFont="1" applyFill="1" applyBorder="1" applyAlignment="1">
      <alignment horizontal="left" wrapText="1"/>
    </xf>
    <xf numFmtId="0" fontId="3" fillId="2" borderId="1" xfId="3" applyFont="1" applyFill="1" applyBorder="1" applyAlignment="1">
      <alignment horizontal="left" wrapText="1"/>
    </xf>
    <xf numFmtId="0" fontId="1" fillId="2" borderId="1" xfId="3" applyFont="1" applyFill="1" applyBorder="1" applyAlignment="1">
      <alignment horizontal="left" wrapText="1"/>
    </xf>
    <xf numFmtId="0" fontId="3" fillId="2" borderId="18" xfId="3" applyFont="1" applyFill="1" applyBorder="1" applyAlignment="1">
      <alignment horizontal="left"/>
    </xf>
    <xf numFmtId="0" fontId="16" fillId="0" borderId="0" xfId="5" applyFont="1" applyFill="1" applyBorder="1"/>
    <xf numFmtId="0" fontId="17" fillId="0" borderId="1" xfId="5" applyFont="1" applyFill="1" applyBorder="1" applyAlignment="1">
      <alignment wrapText="1"/>
    </xf>
    <xf numFmtId="8" fontId="4" fillId="0" borderId="1" xfId="0" applyNumberFormat="1" applyFont="1" applyBorder="1"/>
    <xf numFmtId="6" fontId="17" fillId="0" borderId="1" xfId="5" applyNumberFormat="1" applyFont="1" applyFill="1" applyBorder="1"/>
    <xf numFmtId="0" fontId="17" fillId="0" borderId="1" xfId="5" applyFont="1" applyFill="1" applyBorder="1"/>
    <xf numFmtId="0" fontId="2" fillId="3" borderId="1" xfId="3" applyFont="1" applyFill="1" applyBorder="1" applyAlignment="1">
      <alignment horizontal="left"/>
    </xf>
    <xf numFmtId="4" fontId="0" fillId="0" borderId="1" xfId="0" applyNumberFormat="1" applyBorder="1"/>
    <xf numFmtId="6" fontId="0" fillId="0" borderId="1" xfId="0" applyNumberForma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0" fillId="16" borderId="1" xfId="0" applyFill="1" applyBorder="1"/>
    <xf numFmtId="0" fontId="17" fillId="16" borderId="1" xfId="6" applyFont="1" applyFill="1" applyBorder="1" applyAlignment="1">
      <alignment wrapText="1"/>
    </xf>
    <xf numFmtId="9" fontId="17" fillId="16" borderId="1" xfId="7" applyFont="1" applyFill="1" applyBorder="1"/>
    <xf numFmtId="0" fontId="20" fillId="10" borderId="1" xfId="5" applyFont="1" applyFill="1" applyBorder="1" applyAlignment="1">
      <alignment wrapText="1"/>
    </xf>
    <xf numFmtId="9" fontId="20" fillId="10" borderId="1" xfId="7" applyFont="1" applyFill="1" applyBorder="1"/>
    <xf numFmtId="0" fontId="20" fillId="10" borderId="20" xfId="5" applyFont="1" applyFill="1" applyBorder="1" applyAlignment="1">
      <alignment wrapText="1"/>
    </xf>
    <xf numFmtId="9" fontId="20" fillId="11" borderId="1" xfId="7" applyFont="1" applyFill="1" applyBorder="1"/>
    <xf numFmtId="0" fontId="20" fillId="11" borderId="1" xfId="6" applyFont="1" applyFill="1" applyBorder="1" applyAlignment="1">
      <alignment wrapText="1"/>
    </xf>
    <xf numFmtId="0" fontId="20" fillId="11" borderId="20" xfId="6" applyFont="1" applyFill="1" applyBorder="1" applyAlignment="1">
      <alignment wrapText="1"/>
    </xf>
    <xf numFmtId="164" fontId="20" fillId="11" borderId="1" xfId="6" applyNumberFormat="1" applyFont="1" applyFill="1" applyBorder="1"/>
    <xf numFmtId="0" fontId="20" fillId="13" borderId="20" xfId="5" applyFont="1" applyFill="1" applyBorder="1" applyAlignment="1">
      <alignment wrapText="1"/>
    </xf>
    <xf numFmtId="164" fontId="20" fillId="13" borderId="1" xfId="5" applyNumberFormat="1" applyFont="1" applyFill="1" applyBorder="1"/>
    <xf numFmtId="9" fontId="20" fillId="13" borderId="1" xfId="7" applyFont="1" applyFill="1" applyBorder="1"/>
    <xf numFmtId="0" fontId="20" fillId="13" borderId="1" xfId="5" applyFont="1" applyFill="1" applyBorder="1" applyAlignment="1">
      <alignment wrapText="1"/>
    </xf>
    <xf numFmtId="0" fontId="20" fillId="14" borderId="20" xfId="5" applyFont="1" applyFill="1" applyBorder="1" applyAlignment="1">
      <alignment wrapText="1"/>
    </xf>
    <xf numFmtId="164" fontId="20" fillId="14" borderId="1" xfId="5" applyNumberFormat="1" applyFont="1" applyFill="1" applyBorder="1"/>
    <xf numFmtId="9" fontId="20" fillId="14" borderId="1" xfId="7" applyFont="1" applyFill="1" applyBorder="1"/>
    <xf numFmtId="0" fontId="20" fillId="14" borderId="1" xfId="5" applyFont="1" applyFill="1" applyBorder="1" applyAlignment="1">
      <alignment wrapText="1"/>
    </xf>
    <xf numFmtId="0" fontId="20" fillId="14" borderId="20" xfId="6" applyFont="1" applyFill="1" applyBorder="1" applyAlignment="1">
      <alignment wrapText="1"/>
    </xf>
    <xf numFmtId="164" fontId="20" fillId="14" borderId="1" xfId="6" applyNumberFormat="1" applyFont="1" applyFill="1" applyBorder="1"/>
    <xf numFmtId="0" fontId="20" fillId="14" borderId="1" xfId="6" applyFont="1" applyFill="1" applyBorder="1" applyAlignment="1">
      <alignment wrapText="1"/>
    </xf>
    <xf numFmtId="0" fontId="20" fillId="12" borderId="20" xfId="6" applyFont="1" applyFill="1" applyBorder="1" applyAlignment="1">
      <alignment wrapText="1"/>
    </xf>
    <xf numFmtId="164" fontId="20" fillId="12" borderId="1" xfId="6" applyNumberFormat="1" applyFont="1" applyFill="1" applyBorder="1"/>
    <xf numFmtId="9" fontId="20" fillId="12" borderId="1" xfId="7" applyFont="1" applyFill="1" applyBorder="1"/>
    <xf numFmtId="0" fontId="20" fillId="12" borderId="1" xfId="6" applyFont="1" applyFill="1" applyBorder="1" applyAlignment="1">
      <alignment wrapText="1"/>
    </xf>
    <xf numFmtId="0" fontId="20" fillId="12" borderId="20" xfId="5" applyFont="1" applyFill="1" applyBorder="1" applyAlignment="1">
      <alignment wrapText="1"/>
    </xf>
    <xf numFmtId="164" fontId="20" fillId="12" borderId="1" xfId="5" applyNumberFormat="1" applyFont="1" applyFill="1" applyBorder="1"/>
    <xf numFmtId="0" fontId="20" fillId="12" borderId="1" xfId="5" applyFont="1" applyFill="1" applyBorder="1" applyAlignment="1">
      <alignment wrapText="1"/>
    </xf>
    <xf numFmtId="9" fontId="20" fillId="16" borderId="1" xfId="7" applyFont="1" applyFill="1" applyBorder="1"/>
    <xf numFmtId="0" fontId="20" fillId="16" borderId="1" xfId="6" applyFont="1" applyFill="1" applyBorder="1" applyAlignment="1">
      <alignment wrapText="1"/>
    </xf>
    <xf numFmtId="0" fontId="20" fillId="16" borderId="20" xfId="5" applyFont="1" applyFill="1" applyBorder="1" applyAlignment="1">
      <alignment wrapText="1"/>
    </xf>
    <xf numFmtId="164" fontId="20" fillId="16" borderId="1" xfId="5" applyNumberFormat="1" applyFont="1" applyFill="1" applyBorder="1"/>
    <xf numFmtId="0" fontId="20" fillId="16" borderId="1" xfId="5" applyFont="1" applyFill="1" applyBorder="1" applyAlignment="1">
      <alignment wrapText="1"/>
    </xf>
    <xf numFmtId="0" fontId="20" fillId="10" borderId="0" xfId="0" applyFont="1" applyFill="1"/>
    <xf numFmtId="0" fontId="20" fillId="10" borderId="1" xfId="0" applyFont="1" applyFill="1" applyBorder="1" applyAlignment="1">
      <alignment wrapText="1"/>
    </xf>
    <xf numFmtId="0" fontId="20" fillId="10" borderId="1" xfId="0" applyFont="1" applyFill="1" applyBorder="1"/>
    <xf numFmtId="164" fontId="20" fillId="10" borderId="1" xfId="0" applyNumberFormat="1" applyFont="1" applyFill="1" applyBorder="1" applyAlignment="1">
      <alignment vertical="center" wrapText="1"/>
    </xf>
    <xf numFmtId="0" fontId="20" fillId="11" borderId="20" xfId="0" applyFont="1" applyFill="1" applyBorder="1" applyAlignment="1">
      <alignment wrapText="1"/>
    </xf>
    <xf numFmtId="0" fontId="20" fillId="11" borderId="1" xfId="0" applyFont="1" applyFill="1" applyBorder="1"/>
    <xf numFmtId="164" fontId="20" fillId="11" borderId="1" xfId="0" applyNumberFormat="1" applyFont="1" applyFill="1" applyBorder="1" applyAlignment="1">
      <alignment wrapText="1"/>
    </xf>
    <xf numFmtId="164" fontId="20" fillId="11" borderId="1" xfId="0" applyNumberFormat="1" applyFont="1" applyFill="1" applyBorder="1"/>
    <xf numFmtId="0" fontId="20" fillId="11" borderId="1" xfId="0" applyFont="1" applyFill="1" applyBorder="1" applyAlignment="1">
      <alignment horizontal="left"/>
    </xf>
    <xf numFmtId="0" fontId="20" fillId="13" borderId="1" xfId="0" applyFont="1" applyFill="1" applyBorder="1"/>
    <xf numFmtId="164" fontId="20" fillId="13" borderId="1" xfId="0" applyNumberFormat="1" applyFont="1" applyFill="1" applyBorder="1"/>
    <xf numFmtId="0" fontId="20" fillId="14" borderId="1" xfId="0" applyFont="1" applyFill="1" applyBorder="1"/>
    <xf numFmtId="164" fontId="20" fillId="14" borderId="1" xfId="0" applyNumberFormat="1" applyFont="1" applyFill="1" applyBorder="1"/>
    <xf numFmtId="0" fontId="20" fillId="14" borderId="1" xfId="0" applyFont="1" applyFill="1" applyBorder="1" applyAlignment="1">
      <alignment wrapText="1"/>
    </xf>
    <xf numFmtId="0" fontId="20" fillId="14" borderId="20" xfId="0" applyFont="1" applyFill="1" applyBorder="1" applyAlignment="1">
      <alignment wrapText="1"/>
    </xf>
    <xf numFmtId="0" fontId="20" fillId="12" borderId="1" xfId="0" applyFont="1" applyFill="1" applyBorder="1"/>
    <xf numFmtId="164" fontId="20" fillId="12" borderId="1" xfId="0" applyNumberFormat="1" applyFont="1" applyFill="1" applyBorder="1"/>
    <xf numFmtId="0" fontId="20" fillId="12" borderId="0" xfId="0" applyFont="1" applyFill="1" applyAlignment="1">
      <alignment wrapText="1"/>
    </xf>
    <xf numFmtId="0" fontId="20" fillId="12" borderId="1" xfId="0" applyFont="1" applyFill="1" applyBorder="1" applyAlignment="1">
      <alignment wrapText="1"/>
    </xf>
    <xf numFmtId="0" fontId="20" fillId="12" borderId="20" xfId="0" applyFont="1" applyFill="1" applyBorder="1" applyAlignment="1">
      <alignment wrapText="1"/>
    </xf>
    <xf numFmtId="164" fontId="20" fillId="12" borderId="1" xfId="0" applyNumberFormat="1" applyFont="1" applyFill="1" applyBorder="1" applyAlignment="1">
      <alignment wrapText="1"/>
    </xf>
    <xf numFmtId="0" fontId="20" fillId="16" borderId="20" xfId="0" applyFont="1" applyFill="1" applyBorder="1" applyAlignment="1">
      <alignment wrapText="1"/>
    </xf>
    <xf numFmtId="0" fontId="20" fillId="16" borderId="1" xfId="0" applyFont="1" applyFill="1" applyBorder="1"/>
    <xf numFmtId="164" fontId="20" fillId="16" borderId="1" xfId="0" applyNumberFormat="1" applyFont="1" applyFill="1" applyBorder="1" applyAlignment="1">
      <alignment wrapText="1"/>
    </xf>
    <xf numFmtId="164" fontId="20" fillId="16" borderId="1" xfId="0" applyNumberFormat="1" applyFont="1" applyFill="1" applyBorder="1"/>
    <xf numFmtId="0" fontId="23" fillId="16" borderId="20" xfId="4" applyFont="1" applyFill="1" applyBorder="1" applyAlignment="1">
      <alignment wrapText="1"/>
    </xf>
    <xf numFmtId="164" fontId="24" fillId="4" borderId="1" xfId="0" applyNumberFormat="1" applyFont="1" applyFill="1" applyBorder="1"/>
    <xf numFmtId="0" fontId="20" fillId="15" borderId="1" xfId="0" applyFont="1" applyFill="1" applyBorder="1"/>
    <xf numFmtId="0" fontId="20" fillId="15" borderId="20" xfId="6" applyFont="1" applyFill="1" applyBorder="1" applyAlignment="1">
      <alignment wrapText="1"/>
    </xf>
    <xf numFmtId="164" fontId="20" fillId="15" borderId="1" xfId="6" applyNumberFormat="1" applyFont="1" applyFill="1" applyBorder="1"/>
    <xf numFmtId="164" fontId="20" fillId="15" borderId="1" xfId="0" applyNumberFormat="1" applyFont="1" applyFill="1" applyBorder="1"/>
    <xf numFmtId="9" fontId="20" fillId="15" borderId="1" xfId="7" applyFont="1" applyFill="1" applyBorder="1"/>
    <xf numFmtId="0" fontId="20" fillId="15" borderId="1" xfId="6" applyFont="1" applyFill="1" applyBorder="1" applyAlignment="1">
      <alignment wrapText="1"/>
    </xf>
    <xf numFmtId="0" fontId="20" fillId="15" borderId="20" xfId="0" applyFont="1" applyFill="1" applyBorder="1" applyAlignment="1">
      <alignment wrapText="1"/>
    </xf>
    <xf numFmtId="164" fontId="20" fillId="15" borderId="1" xfId="0" applyNumberFormat="1" applyFont="1" applyFill="1" applyBorder="1" applyAlignment="1">
      <alignment wrapText="1"/>
    </xf>
    <xf numFmtId="0" fontId="20" fillId="15" borderId="20" xfId="0" applyFont="1" applyFill="1" applyBorder="1"/>
    <xf numFmtId="0" fontId="24" fillId="4" borderId="1" xfId="0" applyFont="1" applyFill="1" applyBorder="1"/>
    <xf numFmtId="9" fontId="24" fillId="4" borderId="1" xfId="7" applyFont="1" applyFill="1" applyBorder="1"/>
    <xf numFmtId="0" fontId="25" fillId="0" borderId="1" xfId="0" applyFont="1" applyBorder="1"/>
    <xf numFmtId="0" fontId="26" fillId="0" borderId="1" xfId="0" applyFont="1" applyBorder="1"/>
    <xf numFmtId="6" fontId="26" fillId="10" borderId="1" xfId="0" applyNumberFormat="1" applyFont="1" applyFill="1" applyBorder="1"/>
    <xf numFmtId="0" fontId="26" fillId="11" borderId="1" xfId="0" applyFont="1" applyFill="1" applyBorder="1"/>
    <xf numFmtId="6" fontId="26" fillId="11" borderId="1" xfId="0" applyNumberFormat="1" applyFont="1" applyFill="1" applyBorder="1"/>
    <xf numFmtId="0" fontId="26" fillId="13" borderId="1" xfId="0" applyFont="1" applyFill="1" applyBorder="1"/>
    <xf numFmtId="6" fontId="26" fillId="13" borderId="1" xfId="0" applyNumberFormat="1" applyFont="1" applyFill="1" applyBorder="1"/>
    <xf numFmtId="0" fontId="26" fillId="14" borderId="1" xfId="0" applyFont="1" applyFill="1" applyBorder="1"/>
    <xf numFmtId="6" fontId="26" fillId="14" borderId="1" xfId="0" applyNumberFormat="1" applyFont="1" applyFill="1" applyBorder="1"/>
    <xf numFmtId="0" fontId="26" fillId="12" borderId="1" xfId="0" applyFont="1" applyFill="1" applyBorder="1"/>
    <xf numFmtId="6" fontId="26" fillId="12" borderId="1" xfId="0" applyNumberFormat="1" applyFont="1" applyFill="1" applyBorder="1"/>
    <xf numFmtId="0" fontId="26" fillId="16" borderId="1" xfId="0" applyFont="1" applyFill="1" applyBorder="1"/>
    <xf numFmtId="6" fontId="26" fillId="16" borderId="1" xfId="0" applyNumberFormat="1" applyFont="1" applyFill="1" applyBorder="1"/>
    <xf numFmtId="0" fontId="26" fillId="15" borderId="1" xfId="0" applyFont="1" applyFill="1" applyBorder="1"/>
    <xf numFmtId="6" fontId="26" fillId="15" borderId="1" xfId="0" applyNumberFormat="1" applyFont="1" applyFill="1" applyBorder="1"/>
    <xf numFmtId="6" fontId="25" fillId="0" borderId="1" xfId="0" applyNumberFormat="1" applyFont="1" applyBorder="1"/>
    <xf numFmtId="9" fontId="26" fillId="15" borderId="1" xfId="0" applyNumberFormat="1" applyFont="1" applyFill="1" applyBorder="1"/>
    <xf numFmtId="9" fontId="26" fillId="10" borderId="1" xfId="0" applyNumberFormat="1" applyFont="1" applyFill="1" applyBorder="1"/>
    <xf numFmtId="9" fontId="26" fillId="16" borderId="1" xfId="0" applyNumberFormat="1" applyFont="1" applyFill="1" applyBorder="1"/>
    <xf numFmtId="9" fontId="26" fillId="11" borderId="1" xfId="0" applyNumberFormat="1" applyFont="1" applyFill="1" applyBorder="1"/>
    <xf numFmtId="9" fontId="26" fillId="12" borderId="1" xfId="0" applyNumberFormat="1" applyFont="1" applyFill="1" applyBorder="1"/>
    <xf numFmtId="9" fontId="26" fillId="14" borderId="1" xfId="0" applyNumberFormat="1" applyFont="1" applyFill="1" applyBorder="1"/>
    <xf numFmtId="9" fontId="26" fillId="13" borderId="1" xfId="0" applyNumberFormat="1" applyFont="1" applyFill="1" applyBorder="1"/>
    <xf numFmtId="9" fontId="25" fillId="0" borderId="1" xfId="0" applyNumberFormat="1" applyFont="1" applyBorder="1"/>
    <xf numFmtId="0" fontId="20" fillId="10" borderId="2" xfId="5" applyFont="1" applyFill="1" applyBorder="1" applyAlignment="1">
      <alignment wrapText="1"/>
    </xf>
    <xf numFmtId="0" fontId="21" fillId="2" borderId="22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left"/>
    </xf>
    <xf numFmtId="0" fontId="20" fillId="10" borderId="2" xfId="0" applyFont="1" applyFill="1" applyBorder="1" applyAlignment="1">
      <alignment wrapText="1"/>
    </xf>
    <xf numFmtId="164" fontId="20" fillId="10" borderId="2" xfId="5" applyNumberFormat="1" applyFont="1" applyFill="1" applyBorder="1"/>
    <xf numFmtId="164" fontId="20" fillId="10" borderId="2" xfId="0" applyNumberFormat="1" applyFont="1" applyFill="1" applyBorder="1"/>
    <xf numFmtId="9" fontId="20" fillId="10" borderId="2" xfId="7" applyFont="1" applyFill="1" applyBorder="1"/>
    <xf numFmtId="0" fontId="20" fillId="10" borderId="2" xfId="0" applyFont="1" applyFill="1" applyBorder="1"/>
    <xf numFmtId="0" fontId="22" fillId="2" borderId="23" xfId="3" applyFont="1" applyFill="1" applyBorder="1" applyAlignment="1">
      <alignment horizontal="left"/>
    </xf>
    <xf numFmtId="0" fontId="21" fillId="8" borderId="24" xfId="3" applyFont="1" applyFill="1" applyBorder="1" applyAlignment="1">
      <alignment horizontal="left"/>
    </xf>
    <xf numFmtId="0" fontId="22" fillId="2" borderId="24" xfId="3" applyFont="1" applyFill="1" applyBorder="1" applyAlignment="1">
      <alignment horizontal="left"/>
    </xf>
    <xf numFmtId="0" fontId="22" fillId="2" borderId="24" xfId="3" applyFont="1" applyFill="1" applyBorder="1" applyAlignment="1">
      <alignment horizontal="left" wrapText="1"/>
    </xf>
    <xf numFmtId="0" fontId="20" fillId="5" borderId="25" xfId="2" applyFont="1" applyFill="1" applyBorder="1" applyAlignment="1">
      <alignment horizontal="left"/>
    </xf>
    <xf numFmtId="0" fontId="20" fillId="10" borderId="2" xfId="5" applyFont="1" applyFill="1" applyBorder="1" applyAlignment="1">
      <alignment horizontal="left"/>
    </xf>
    <xf numFmtId="0" fontId="20" fillId="10" borderId="1" xfId="5" applyFont="1" applyFill="1" applyBorder="1" applyAlignment="1">
      <alignment horizontal="left"/>
    </xf>
    <xf numFmtId="0" fontId="20" fillId="11" borderId="1" xfId="5" applyFont="1" applyFill="1" applyBorder="1" applyAlignment="1">
      <alignment horizontal="left"/>
    </xf>
    <xf numFmtId="0" fontId="20" fillId="13" borderId="1" xfId="5" applyFont="1" applyFill="1" applyBorder="1" applyAlignment="1">
      <alignment horizontal="left"/>
    </xf>
    <xf numFmtId="0" fontId="20" fillId="14" borderId="1" xfId="5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2" borderId="1" xfId="5" applyFont="1" applyFill="1" applyBorder="1" applyAlignment="1">
      <alignment horizontal="left"/>
    </xf>
    <xf numFmtId="0" fontId="20" fillId="12" borderId="1" xfId="0" applyFont="1" applyFill="1" applyBorder="1" applyAlignment="1">
      <alignment horizontal="left"/>
    </xf>
    <xf numFmtId="0" fontId="20" fillId="16" borderId="1" xfId="0" applyFont="1" applyFill="1" applyBorder="1" applyAlignment="1">
      <alignment horizontal="left"/>
    </xf>
    <xf numFmtId="0" fontId="20" fillId="16" borderId="1" xfId="5" applyFont="1" applyFill="1" applyBorder="1" applyAlignment="1">
      <alignment horizontal="left"/>
    </xf>
    <xf numFmtId="0" fontId="20" fillId="15" borderId="1" xfId="5" applyFont="1" applyFill="1" applyBorder="1" applyAlignment="1">
      <alignment horizontal="left"/>
    </xf>
    <xf numFmtId="0" fontId="20" fillId="15" borderId="1" xfId="0" applyFont="1" applyFill="1" applyBorder="1" applyAlignment="1">
      <alignment horizontal="left"/>
    </xf>
    <xf numFmtId="0" fontId="26" fillId="10" borderId="1" xfId="0" applyFont="1" applyFill="1" applyBorder="1" applyAlignment="1">
      <alignment wrapText="1"/>
    </xf>
    <xf numFmtId="0" fontId="20" fillId="11" borderId="1" xfId="0" applyFont="1" applyFill="1" applyBorder="1" applyAlignment="1">
      <alignment wrapText="1"/>
    </xf>
    <xf numFmtId="0" fontId="20" fillId="16" borderId="1" xfId="0" applyFont="1" applyFill="1" applyBorder="1" applyAlignment="1">
      <alignment wrapText="1"/>
    </xf>
    <xf numFmtId="0" fontId="27" fillId="16" borderId="1" xfId="0" applyFont="1" applyFill="1" applyBorder="1"/>
    <xf numFmtId="164" fontId="27" fillId="16" borderId="1" xfId="0" applyNumberFormat="1" applyFont="1" applyFill="1" applyBorder="1"/>
    <xf numFmtId="1" fontId="2" fillId="3" borderId="1" xfId="3" applyNumberFormat="1" applyFont="1" applyFill="1" applyBorder="1" applyAlignment="1">
      <alignment horizontal="left" wrapText="1"/>
    </xf>
    <xf numFmtId="1" fontId="9" fillId="4" borderId="1" xfId="0" applyNumberFormat="1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left"/>
    </xf>
    <xf numFmtId="1" fontId="3" fillId="4" borderId="1" xfId="3" applyNumberForma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left"/>
    </xf>
    <xf numFmtId="1" fontId="11" fillId="4" borderId="0" xfId="0" applyNumberFormat="1" applyFont="1" applyFill="1" applyBorder="1" applyAlignment="1">
      <alignment horizontal="left"/>
    </xf>
    <xf numFmtId="1" fontId="3" fillId="4" borderId="3" xfId="3" applyNumberForma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left"/>
    </xf>
    <xf numFmtId="1" fontId="5" fillId="4" borderId="1" xfId="2" applyNumberFormat="1" applyFont="1" applyFill="1" applyBorder="1" applyAlignment="1">
      <alignment horizontal="left"/>
    </xf>
    <xf numFmtId="1" fontId="7" fillId="4" borderId="1" xfId="2" applyNumberFormat="1" applyFill="1" applyBorder="1" applyAlignment="1">
      <alignment horizontal="left"/>
    </xf>
    <xf numFmtId="1" fontId="5" fillId="4" borderId="1" xfId="2" applyNumberFormat="1" applyFont="1" applyFill="1" applyBorder="1" applyAlignment="1">
      <alignment horizontal="left" wrapText="1"/>
    </xf>
    <xf numFmtId="1" fontId="4" fillId="4" borderId="1" xfId="2" applyNumberFormat="1" applyFont="1" applyFill="1" applyBorder="1" applyAlignment="1">
      <alignment horizontal="left" wrapText="1"/>
    </xf>
    <xf numFmtId="1" fontId="2" fillId="4" borderId="1" xfId="3" applyNumberFormat="1" applyFont="1" applyFill="1" applyBorder="1" applyAlignment="1">
      <alignment horizontal="left" wrapText="1"/>
    </xf>
    <xf numFmtId="1" fontId="5" fillId="4" borderId="4" xfId="2" applyNumberFormat="1" applyFont="1" applyFill="1" applyBorder="1" applyAlignment="1">
      <alignment horizontal="left"/>
    </xf>
    <xf numFmtId="1" fontId="7" fillId="4" borderId="4" xfId="2" applyNumberFormat="1" applyFill="1" applyBorder="1" applyAlignment="1">
      <alignment horizontal="left"/>
    </xf>
    <xf numFmtId="4" fontId="28" fillId="0" borderId="1" xfId="5" applyNumberFormat="1" applyFont="1" applyFill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8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0" fillId="7" borderId="11" xfId="2" applyFont="1" applyFill="1" applyBorder="1" applyAlignment="1">
      <alignment horizontal="left"/>
    </xf>
    <xf numFmtId="0" fontId="10" fillId="7" borderId="12" xfId="2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2" borderId="26" xfId="3" applyFont="1" applyFill="1" applyBorder="1" applyAlignment="1">
      <alignment horizontal="left"/>
    </xf>
    <xf numFmtId="0" fontId="2" fillId="2" borderId="26" xfId="3" applyFont="1" applyFill="1" applyBorder="1" applyAlignment="1">
      <alignment horizontal="left" wrapText="1"/>
    </xf>
    <xf numFmtId="0" fontId="1" fillId="2" borderId="27" xfId="3" applyFont="1" applyFill="1" applyBorder="1" applyAlignment="1">
      <alignment horizontal="left"/>
    </xf>
    <xf numFmtId="0" fontId="2" fillId="8" borderId="27" xfId="3" applyFont="1" applyFill="1" applyBorder="1" applyAlignment="1">
      <alignment horizontal="left"/>
    </xf>
    <xf numFmtId="0" fontId="1" fillId="2" borderId="27" xfId="3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/>
    </xf>
    <xf numFmtId="4" fontId="17" fillId="0" borderId="1" xfId="5" applyNumberFormat="1" applyFont="1" applyBorder="1"/>
    <xf numFmtId="6" fontId="17" fillId="0" borderId="1" xfId="5" applyNumberFormat="1" applyFont="1" applyBorder="1"/>
    <xf numFmtId="2" fontId="0" fillId="0" borderId="1" xfId="0" applyNumberFormat="1" applyBorder="1"/>
    <xf numFmtId="0" fontId="15" fillId="0" borderId="1" xfId="6" applyBorder="1" applyAlignment="1">
      <alignment wrapText="1"/>
    </xf>
    <xf numFmtId="4" fontId="15" fillId="0" borderId="1" xfId="6" applyNumberFormat="1" applyBorder="1"/>
    <xf numFmtId="6" fontId="15" fillId="0" borderId="1" xfId="6" applyNumberFormat="1" applyBorder="1"/>
    <xf numFmtId="0" fontId="14" fillId="0" borderId="1" xfId="5" applyBorder="1"/>
    <xf numFmtId="0" fontId="17" fillId="0" borderId="1" xfId="5" applyFont="1" applyBorder="1" applyAlignment="1">
      <alignment wrapText="1"/>
    </xf>
    <xf numFmtId="3" fontId="17" fillId="0" borderId="1" xfId="5" applyNumberFormat="1" applyFont="1" applyBorder="1"/>
    <xf numFmtId="0" fontId="17" fillId="0" borderId="1" xfId="5" applyFont="1" applyBorder="1"/>
    <xf numFmtId="0" fontId="5" fillId="0" borderId="0" xfId="0" applyFont="1"/>
  </cellXfs>
  <cellStyles count="8">
    <cellStyle name="Hüperlink" xfId="4" builtinId="8"/>
    <cellStyle name="Normaallaad" xfId="0" builtinId="0"/>
    <cellStyle name="Normaallaad 2" xfId="2" xr:uid="{00000000-0005-0000-0000-000002000000}"/>
    <cellStyle name="Normaallaad 3" xfId="5" xr:uid="{00000000-0005-0000-0000-000003000000}"/>
    <cellStyle name="Normaallaad 4" xfId="6" xr:uid="{00000000-0005-0000-0000-000004000000}"/>
    <cellStyle name="Normal_Sheet1" xfId="1" xr:uid="{00000000-0005-0000-0000-000005000000}"/>
    <cellStyle name="Normal_Sheet1 2" xfId="3" xr:uid="{00000000-0005-0000-0000-000006000000}"/>
    <cellStyle name="Protsent" xfId="7" builtinId="5"/>
  </cellStyles>
  <dxfs count="0"/>
  <tableStyles count="0" defaultTableStyle="TableStyleMedium9" defaultPivotStyle="PivotStyleLight16"/>
  <colors>
    <mruColors>
      <color rgb="FFFFFFCC"/>
      <color rgb="FFFFCCCC"/>
      <color rgb="FF0066FF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ogevamaa.com/projektilood/alates-2016/uudis/2019/03/15/kunstlund-tuleb-toota-ka-lumisel-talv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oltsamaavv.kovtp.ee/poltsamaa-joe-seisundi-parandamine-kamari-paisjarvede-alavees" TargetMode="External"/><Relationship Id="rId1" Type="http://schemas.openxmlformats.org/officeDocument/2006/relationships/hyperlink" Target="http://poltsamaavv.kovtp.ee/kamari-paisjarvede-paisudele-kalapaasude-ehitam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9"/>
  <sheetViews>
    <sheetView tabSelected="1" workbookViewId="0"/>
  </sheetViews>
  <sheetFormatPr defaultRowHeight="12.75" x14ac:dyDescent="0.2"/>
  <cols>
    <col min="1" max="1" width="7" customWidth="1"/>
    <col min="2" max="2" width="24.42578125" customWidth="1"/>
    <col min="3" max="3" width="15.42578125" customWidth="1"/>
    <col min="4" max="4" width="18.28515625" customWidth="1"/>
    <col min="5" max="5" width="17.140625" customWidth="1"/>
    <col min="6" max="7" width="18.28515625" customWidth="1"/>
    <col min="8" max="8" width="21.7109375" customWidth="1"/>
    <col min="9" max="9" width="17.5703125" customWidth="1"/>
    <col min="10" max="10" width="20.5703125" customWidth="1"/>
    <col min="11" max="11" width="12.5703125" customWidth="1"/>
  </cols>
  <sheetData>
    <row r="2" spans="1:11" ht="15.75" x14ac:dyDescent="0.25">
      <c r="B2" s="151" t="s">
        <v>262</v>
      </c>
      <c r="C2" s="152"/>
      <c r="D2" s="152"/>
      <c r="E2" s="152"/>
      <c r="F2" s="152"/>
      <c r="G2" s="152"/>
      <c r="H2" s="152"/>
    </row>
    <row r="3" spans="1:11" ht="35.25" customHeight="1" x14ac:dyDescent="0.25">
      <c r="B3" s="152"/>
      <c r="C3" s="221" t="s">
        <v>259</v>
      </c>
      <c r="D3" s="222"/>
      <c r="E3" s="222"/>
      <c r="F3" s="223"/>
      <c r="G3" s="224" t="s">
        <v>261</v>
      </c>
      <c r="H3" s="225"/>
    </row>
    <row r="4" spans="1:11" ht="15.75" x14ac:dyDescent="0.25">
      <c r="B4" s="152"/>
      <c r="C4" s="151" t="s">
        <v>252</v>
      </c>
      <c r="D4" s="151" t="s">
        <v>257</v>
      </c>
      <c r="E4" s="151" t="s">
        <v>185</v>
      </c>
      <c r="F4" s="151" t="s">
        <v>260</v>
      </c>
      <c r="G4" s="151">
        <v>2018</v>
      </c>
      <c r="H4" s="151">
        <v>2019</v>
      </c>
    </row>
    <row r="5" spans="1:11" ht="33.75" customHeight="1" x14ac:dyDescent="0.25">
      <c r="B5" s="200" t="s">
        <v>250</v>
      </c>
      <c r="C5" s="153">
        <v>3239437</v>
      </c>
      <c r="D5" s="153">
        <v>1281659</v>
      </c>
      <c r="E5" s="153">
        <v>1957778</v>
      </c>
      <c r="F5" s="168">
        <v>0.6</v>
      </c>
      <c r="G5" s="152"/>
      <c r="H5" s="152"/>
    </row>
    <row r="6" spans="1:11" ht="15.75" x14ac:dyDescent="0.25">
      <c r="B6" s="154" t="s">
        <v>251</v>
      </c>
      <c r="C6" s="155">
        <v>3028620</v>
      </c>
      <c r="D6" s="155">
        <v>527246</v>
      </c>
      <c r="E6" s="155">
        <v>2501374</v>
      </c>
      <c r="F6" s="170">
        <v>0.83</v>
      </c>
      <c r="G6" s="152">
        <v>240000</v>
      </c>
      <c r="H6" s="152">
        <v>227100</v>
      </c>
    </row>
    <row r="7" spans="1:11" ht="15.75" x14ac:dyDescent="0.25">
      <c r="B7" s="156" t="s">
        <v>258</v>
      </c>
      <c r="C7" s="157">
        <v>2315931</v>
      </c>
      <c r="D7" s="157">
        <v>911696</v>
      </c>
      <c r="E7" s="157">
        <v>1404235</v>
      </c>
      <c r="F7" s="173">
        <v>0.61</v>
      </c>
      <c r="G7" s="152"/>
      <c r="H7" s="152"/>
    </row>
    <row r="8" spans="1:11" ht="15.75" x14ac:dyDescent="0.25">
      <c r="B8" s="158" t="s">
        <v>253</v>
      </c>
      <c r="C8" s="159">
        <v>4769522</v>
      </c>
      <c r="D8" s="159">
        <v>2630143</v>
      </c>
      <c r="E8" s="159">
        <v>2139379</v>
      </c>
      <c r="F8" s="172">
        <v>0.45</v>
      </c>
      <c r="G8" s="152"/>
      <c r="H8" s="152"/>
    </row>
    <row r="9" spans="1:11" ht="15.75" x14ac:dyDescent="0.25">
      <c r="B9" s="160" t="s">
        <v>254</v>
      </c>
      <c r="C9" s="161">
        <v>941711</v>
      </c>
      <c r="D9" s="161">
        <v>340036</v>
      </c>
      <c r="E9" s="161">
        <v>601675</v>
      </c>
      <c r="F9" s="171">
        <v>0.64</v>
      </c>
      <c r="G9" s="152">
        <v>344400</v>
      </c>
      <c r="H9" s="152">
        <v>38800</v>
      </c>
    </row>
    <row r="10" spans="1:11" ht="15.75" x14ac:dyDescent="0.25">
      <c r="B10" s="162" t="s">
        <v>255</v>
      </c>
      <c r="C10" s="163">
        <v>2604188</v>
      </c>
      <c r="D10" s="163">
        <v>552826</v>
      </c>
      <c r="E10" s="163">
        <v>2051362</v>
      </c>
      <c r="F10" s="169">
        <v>0.79</v>
      </c>
      <c r="G10" s="152">
        <v>176400</v>
      </c>
      <c r="H10" s="152">
        <v>64300</v>
      </c>
    </row>
    <row r="11" spans="1:11" ht="15.75" x14ac:dyDescent="0.25">
      <c r="B11" s="164" t="s">
        <v>256</v>
      </c>
      <c r="C11" s="165">
        <v>416009</v>
      </c>
      <c r="D11" s="165">
        <v>148826</v>
      </c>
      <c r="E11" s="165">
        <v>267184</v>
      </c>
      <c r="F11" s="167">
        <v>0.64</v>
      </c>
      <c r="G11" s="152">
        <v>6000</v>
      </c>
      <c r="H11" s="152">
        <v>59600</v>
      </c>
    </row>
    <row r="12" spans="1:11" ht="15.75" x14ac:dyDescent="0.25">
      <c r="B12" s="151" t="s">
        <v>208</v>
      </c>
      <c r="C12" s="166">
        <v>17315417</v>
      </c>
      <c r="D12" s="166">
        <v>6392430</v>
      </c>
      <c r="E12" s="166">
        <v>10922986</v>
      </c>
      <c r="F12" s="174">
        <v>0.63</v>
      </c>
      <c r="G12" s="151">
        <v>768818</v>
      </c>
      <c r="H12" s="151">
        <v>391819</v>
      </c>
    </row>
    <row r="14" spans="1:11" ht="13.5" thickBot="1" x14ac:dyDescent="0.25"/>
    <row r="15" spans="1:11" ht="30.75" thickBot="1" x14ac:dyDescent="0.3">
      <c r="A15" s="176" t="s">
        <v>247</v>
      </c>
      <c r="B15" s="177" t="s">
        <v>0</v>
      </c>
      <c r="C15" s="183" t="s">
        <v>48</v>
      </c>
      <c r="D15" s="184" t="s">
        <v>130</v>
      </c>
      <c r="E15" s="185" t="s">
        <v>1</v>
      </c>
      <c r="F15" s="186" t="s">
        <v>129</v>
      </c>
      <c r="G15" s="186" t="s">
        <v>128</v>
      </c>
      <c r="H15" s="185" t="s">
        <v>47</v>
      </c>
      <c r="I15" s="186" t="s">
        <v>49</v>
      </c>
      <c r="J15" s="185" t="s">
        <v>46</v>
      </c>
      <c r="K15" s="187" t="s">
        <v>62</v>
      </c>
    </row>
    <row r="16" spans="1:11" ht="45" x14ac:dyDescent="0.25">
      <c r="A16" s="113">
        <v>1</v>
      </c>
      <c r="B16" s="175" t="s">
        <v>125</v>
      </c>
      <c r="C16" s="178" t="s">
        <v>250</v>
      </c>
      <c r="D16" s="179">
        <v>2293095</v>
      </c>
      <c r="E16" s="180">
        <f>SUM(D16-F16)</f>
        <v>934302</v>
      </c>
      <c r="F16" s="179">
        <v>1358793</v>
      </c>
      <c r="G16" s="181">
        <f t="shared" ref="G16:G39" si="0">F16/D16</f>
        <v>0.59255852897503158</v>
      </c>
      <c r="H16" s="182" t="s">
        <v>3</v>
      </c>
      <c r="I16" s="175" t="s">
        <v>126</v>
      </c>
      <c r="J16" s="188" t="s">
        <v>127</v>
      </c>
      <c r="K16" s="182" t="s">
        <v>223</v>
      </c>
    </row>
    <row r="17" spans="1:11" ht="60" x14ac:dyDescent="0.25">
      <c r="A17" s="115">
        <f>A16+1</f>
        <v>2</v>
      </c>
      <c r="B17" s="85" t="s">
        <v>218</v>
      </c>
      <c r="C17" s="114" t="s">
        <v>250</v>
      </c>
      <c r="D17" s="116">
        <v>278573</v>
      </c>
      <c r="E17" s="116">
        <f>D17-F17</f>
        <v>93573</v>
      </c>
      <c r="F17" s="116">
        <v>185000</v>
      </c>
      <c r="G17" s="84">
        <f t="shared" si="0"/>
        <v>0.66409881790410408</v>
      </c>
      <c r="H17" s="115" t="s">
        <v>3</v>
      </c>
      <c r="I17" s="83" t="s">
        <v>226</v>
      </c>
      <c r="J17" s="189" t="s">
        <v>220</v>
      </c>
      <c r="K17" s="115" t="s">
        <v>222</v>
      </c>
    </row>
    <row r="18" spans="1:11" ht="45" x14ac:dyDescent="0.25">
      <c r="A18" s="115">
        <f t="shared" ref="A18:A57" si="1">A17+1</f>
        <v>3</v>
      </c>
      <c r="B18" s="85" t="s">
        <v>217</v>
      </c>
      <c r="C18" s="114" t="s">
        <v>250</v>
      </c>
      <c r="D18" s="116">
        <v>232863</v>
      </c>
      <c r="E18" s="116">
        <f>D18-F18</f>
        <v>69859</v>
      </c>
      <c r="F18" s="116">
        <v>163004</v>
      </c>
      <c r="G18" s="84">
        <f t="shared" si="0"/>
        <v>0.69999957056294904</v>
      </c>
      <c r="H18" s="115" t="s">
        <v>3</v>
      </c>
      <c r="I18" s="83" t="s">
        <v>226</v>
      </c>
      <c r="J18" s="189" t="s">
        <v>220</v>
      </c>
      <c r="K18" s="115" t="s">
        <v>222</v>
      </c>
    </row>
    <row r="19" spans="1:11" ht="60" x14ac:dyDescent="0.25">
      <c r="A19" s="115">
        <f t="shared" si="1"/>
        <v>4</v>
      </c>
      <c r="B19" s="85" t="s">
        <v>219</v>
      </c>
      <c r="C19" s="114" t="s">
        <v>250</v>
      </c>
      <c r="D19" s="116">
        <v>434906</v>
      </c>
      <c r="E19" s="116">
        <f>D19-F19</f>
        <v>183925</v>
      </c>
      <c r="F19" s="116">
        <v>250981</v>
      </c>
      <c r="G19" s="84">
        <f t="shared" si="0"/>
        <v>0.57709252114249976</v>
      </c>
      <c r="H19" s="115" t="s">
        <v>3</v>
      </c>
      <c r="I19" s="83" t="s">
        <v>226</v>
      </c>
      <c r="J19" s="189" t="s">
        <v>221</v>
      </c>
      <c r="K19" s="115" t="s">
        <v>222</v>
      </c>
    </row>
    <row r="20" spans="1:11" ht="30" x14ac:dyDescent="0.25">
      <c r="A20" s="118">
        <f t="shared" si="1"/>
        <v>5</v>
      </c>
      <c r="B20" s="117" t="s">
        <v>224</v>
      </c>
      <c r="C20" s="201" t="s">
        <v>251</v>
      </c>
      <c r="D20" s="119">
        <v>104000</v>
      </c>
      <c r="E20" s="120">
        <f>D20-F20</f>
        <v>35812</v>
      </c>
      <c r="F20" s="119">
        <v>68188</v>
      </c>
      <c r="G20" s="86">
        <f t="shared" si="0"/>
        <v>0.65565384615384614</v>
      </c>
      <c r="H20" s="118" t="s">
        <v>211</v>
      </c>
      <c r="I20" s="87" t="s">
        <v>231</v>
      </c>
      <c r="J20" s="121">
        <v>2019</v>
      </c>
      <c r="K20" s="118" t="s">
        <v>223</v>
      </c>
    </row>
    <row r="21" spans="1:11" ht="30" x14ac:dyDescent="0.25">
      <c r="A21" s="118">
        <f t="shared" si="1"/>
        <v>6</v>
      </c>
      <c r="B21" s="117" t="s">
        <v>210</v>
      </c>
      <c r="C21" s="201" t="s">
        <v>251</v>
      </c>
      <c r="D21" s="119">
        <v>238518</v>
      </c>
      <c r="E21" s="120">
        <f>D21-F21</f>
        <v>78518</v>
      </c>
      <c r="F21" s="119">
        <v>160000</v>
      </c>
      <c r="G21" s="86">
        <f t="shared" si="0"/>
        <v>0.6708089116963919</v>
      </c>
      <c r="H21" s="118" t="s">
        <v>211</v>
      </c>
      <c r="I21" s="87" t="s">
        <v>231</v>
      </c>
      <c r="J21" s="121">
        <v>2018</v>
      </c>
      <c r="K21" s="118" t="s">
        <v>222</v>
      </c>
    </row>
    <row r="22" spans="1:11" ht="30" x14ac:dyDescent="0.25">
      <c r="A22" s="118">
        <f t="shared" si="1"/>
        <v>7</v>
      </c>
      <c r="B22" s="117" t="s">
        <v>212</v>
      </c>
      <c r="C22" s="201" t="s">
        <v>251</v>
      </c>
      <c r="D22" s="119">
        <v>600000</v>
      </c>
      <c r="E22" s="120">
        <v>100000</v>
      </c>
      <c r="F22" s="119">
        <v>500000</v>
      </c>
      <c r="G22" s="86">
        <f t="shared" si="0"/>
        <v>0.83333333333333337</v>
      </c>
      <c r="H22" s="118" t="s">
        <v>213</v>
      </c>
      <c r="I22" s="87" t="s">
        <v>231</v>
      </c>
      <c r="J22" s="121" t="s">
        <v>263</v>
      </c>
      <c r="K22" s="118" t="s">
        <v>222</v>
      </c>
    </row>
    <row r="23" spans="1:11" ht="30" x14ac:dyDescent="0.25">
      <c r="A23" s="118">
        <f t="shared" si="1"/>
        <v>8</v>
      </c>
      <c r="B23" s="88" t="s">
        <v>157</v>
      </c>
      <c r="C23" s="201" t="s">
        <v>251</v>
      </c>
      <c r="D23" s="89">
        <v>541903.69999999995</v>
      </c>
      <c r="E23" s="120">
        <f>SUM(D23-F23)</f>
        <v>81285.699999999953</v>
      </c>
      <c r="F23" s="89">
        <v>460618</v>
      </c>
      <c r="G23" s="86">
        <f t="shared" si="0"/>
        <v>0.84999973242478333</v>
      </c>
      <c r="H23" s="118" t="s">
        <v>146</v>
      </c>
      <c r="I23" s="87" t="s">
        <v>28</v>
      </c>
      <c r="J23" s="190" t="s">
        <v>168</v>
      </c>
      <c r="K23" s="118" t="s">
        <v>222</v>
      </c>
    </row>
    <row r="24" spans="1:11" ht="30" x14ac:dyDescent="0.25">
      <c r="A24" s="118">
        <f t="shared" si="1"/>
        <v>9</v>
      </c>
      <c r="B24" s="88" t="s">
        <v>152</v>
      </c>
      <c r="C24" s="201" t="s">
        <v>251</v>
      </c>
      <c r="D24" s="89">
        <v>906022.77</v>
      </c>
      <c r="E24" s="120">
        <f>SUM(D24-F24)</f>
        <v>135903.77000000002</v>
      </c>
      <c r="F24" s="89">
        <v>770119</v>
      </c>
      <c r="G24" s="86">
        <f t="shared" si="0"/>
        <v>0.84999960872948033</v>
      </c>
      <c r="H24" s="118" t="s">
        <v>146</v>
      </c>
      <c r="I24" s="87" t="s">
        <v>28</v>
      </c>
      <c r="J24" s="190" t="s">
        <v>163</v>
      </c>
      <c r="K24" s="118" t="s">
        <v>222</v>
      </c>
    </row>
    <row r="25" spans="1:11" ht="30" x14ac:dyDescent="0.25">
      <c r="A25" s="118">
        <f t="shared" si="1"/>
        <v>10</v>
      </c>
      <c r="B25" s="88" t="s">
        <v>153</v>
      </c>
      <c r="C25" s="201" t="s">
        <v>251</v>
      </c>
      <c r="D25" s="89">
        <v>638175.72</v>
      </c>
      <c r="E25" s="120">
        <f>SUM(D25-F25)</f>
        <v>95726.719999999972</v>
      </c>
      <c r="F25" s="89">
        <v>542449</v>
      </c>
      <c r="G25" s="86">
        <f t="shared" si="0"/>
        <v>0.84999943275811252</v>
      </c>
      <c r="H25" s="118" t="s">
        <v>146</v>
      </c>
      <c r="I25" s="87" t="s">
        <v>28</v>
      </c>
      <c r="J25" s="190" t="s">
        <v>164</v>
      </c>
      <c r="K25" s="118" t="s">
        <v>222</v>
      </c>
    </row>
    <row r="26" spans="1:11" ht="45" x14ac:dyDescent="0.25">
      <c r="A26" s="122">
        <f t="shared" si="1"/>
        <v>11</v>
      </c>
      <c r="B26" s="90" t="s">
        <v>136</v>
      </c>
      <c r="C26" s="122" t="s">
        <v>258</v>
      </c>
      <c r="D26" s="91">
        <v>2085930.5</v>
      </c>
      <c r="E26" s="123">
        <f>SUM(D26-F26)</f>
        <v>834372.5</v>
      </c>
      <c r="F26" s="91">
        <v>1251558</v>
      </c>
      <c r="G26" s="92">
        <f t="shared" si="0"/>
        <v>0.59999985617929263</v>
      </c>
      <c r="H26" s="122" t="s">
        <v>147</v>
      </c>
      <c r="I26" s="93" t="s">
        <v>226</v>
      </c>
      <c r="J26" s="191" t="s">
        <v>142</v>
      </c>
      <c r="K26" s="122" t="s">
        <v>223</v>
      </c>
    </row>
    <row r="27" spans="1:11" ht="45" x14ac:dyDescent="0.25">
      <c r="A27" s="122">
        <f t="shared" si="1"/>
        <v>12</v>
      </c>
      <c r="B27" s="90" t="s">
        <v>134</v>
      </c>
      <c r="C27" s="122" t="s">
        <v>258</v>
      </c>
      <c r="D27" s="91">
        <v>230000</v>
      </c>
      <c r="E27" s="123">
        <f>SUM(D27-F27)</f>
        <v>77323</v>
      </c>
      <c r="F27" s="91">
        <v>152677</v>
      </c>
      <c r="G27" s="92">
        <f t="shared" si="0"/>
        <v>0.66381304347826087</v>
      </c>
      <c r="H27" s="122" t="s">
        <v>147</v>
      </c>
      <c r="I27" s="93" t="s">
        <v>226</v>
      </c>
      <c r="J27" s="191" t="s">
        <v>140</v>
      </c>
      <c r="K27" s="122" t="s">
        <v>222</v>
      </c>
    </row>
    <row r="28" spans="1:11" ht="90" x14ac:dyDescent="0.25">
      <c r="A28" s="124">
        <f t="shared" si="1"/>
        <v>13</v>
      </c>
      <c r="B28" s="94" t="s">
        <v>236</v>
      </c>
      <c r="C28" s="124" t="s">
        <v>177</v>
      </c>
      <c r="D28" s="95">
        <f>2*1175000</f>
        <v>2350000</v>
      </c>
      <c r="E28" s="125">
        <f>D28-F28</f>
        <v>1310000</v>
      </c>
      <c r="F28" s="95">
        <f>2*520000</f>
        <v>1040000</v>
      </c>
      <c r="G28" s="96">
        <f t="shared" si="0"/>
        <v>0.44255319148936167</v>
      </c>
      <c r="H28" s="124" t="s">
        <v>233</v>
      </c>
      <c r="I28" s="97" t="s">
        <v>144</v>
      </c>
      <c r="J28" s="192" t="s">
        <v>248</v>
      </c>
      <c r="K28" s="124" t="s">
        <v>223</v>
      </c>
    </row>
    <row r="29" spans="1:11" ht="60" x14ac:dyDescent="0.25">
      <c r="A29" s="124">
        <f t="shared" si="1"/>
        <v>14</v>
      </c>
      <c r="B29" s="94" t="s">
        <v>143</v>
      </c>
      <c r="C29" s="124" t="s">
        <v>177</v>
      </c>
      <c r="D29" s="95">
        <v>2285000</v>
      </c>
      <c r="E29" s="125">
        <f t="shared" ref="E29:E37" si="2">SUM(D29-F29)</f>
        <v>1296306</v>
      </c>
      <c r="F29" s="95">
        <v>988694</v>
      </c>
      <c r="G29" s="96">
        <f t="shared" si="0"/>
        <v>0.43268884026258203</v>
      </c>
      <c r="H29" s="124" t="s">
        <v>146</v>
      </c>
      <c r="I29" s="97" t="s">
        <v>227</v>
      </c>
      <c r="J29" s="192" t="s">
        <v>145</v>
      </c>
      <c r="K29" s="124" t="s">
        <v>223</v>
      </c>
    </row>
    <row r="30" spans="1:11" ht="67.5" customHeight="1" x14ac:dyDescent="0.25">
      <c r="A30" s="124">
        <f t="shared" si="1"/>
        <v>15</v>
      </c>
      <c r="B30" s="98" t="s">
        <v>158</v>
      </c>
      <c r="C30" s="124" t="s">
        <v>177</v>
      </c>
      <c r="D30" s="99">
        <v>21483.55</v>
      </c>
      <c r="E30" s="125">
        <f t="shared" si="2"/>
        <v>6328.5499999999993</v>
      </c>
      <c r="F30" s="99">
        <v>15155</v>
      </c>
      <c r="G30" s="96">
        <f t="shared" si="0"/>
        <v>0.70542345189691646</v>
      </c>
      <c r="H30" s="124" t="s">
        <v>146</v>
      </c>
      <c r="I30" s="100" t="s">
        <v>28</v>
      </c>
      <c r="J30" s="192" t="s">
        <v>169</v>
      </c>
      <c r="K30" s="126" t="s">
        <v>183</v>
      </c>
    </row>
    <row r="31" spans="1:11" ht="62.25" customHeight="1" x14ac:dyDescent="0.25">
      <c r="A31" s="124">
        <f t="shared" si="1"/>
        <v>16</v>
      </c>
      <c r="B31" s="127" t="s">
        <v>181</v>
      </c>
      <c r="C31" s="124" t="s">
        <v>177</v>
      </c>
      <c r="D31" s="125">
        <v>113038.26</v>
      </c>
      <c r="E31" s="125">
        <f t="shared" si="2"/>
        <v>17508.259999999995</v>
      </c>
      <c r="F31" s="99">
        <v>95530</v>
      </c>
      <c r="G31" s="96">
        <f t="shared" si="0"/>
        <v>0.84511208859725906</v>
      </c>
      <c r="H31" s="124" t="s">
        <v>146</v>
      </c>
      <c r="I31" s="100" t="s">
        <v>28</v>
      </c>
      <c r="J31" s="193" t="s">
        <v>182</v>
      </c>
      <c r="K31" s="124" t="s">
        <v>184</v>
      </c>
    </row>
    <row r="32" spans="1:11" ht="30" x14ac:dyDescent="0.25">
      <c r="A32" s="128">
        <f t="shared" si="1"/>
        <v>17</v>
      </c>
      <c r="B32" s="101" t="s">
        <v>160</v>
      </c>
      <c r="C32" s="128" t="s">
        <v>254</v>
      </c>
      <c r="D32" s="102">
        <v>5624</v>
      </c>
      <c r="E32" s="129">
        <f t="shared" si="2"/>
        <v>562</v>
      </c>
      <c r="F32" s="102">
        <v>5062</v>
      </c>
      <c r="G32" s="103">
        <f t="shared" si="0"/>
        <v>0.90007112375533427</v>
      </c>
      <c r="H32" s="128" t="s">
        <v>149</v>
      </c>
      <c r="I32" s="104" t="s">
        <v>28</v>
      </c>
      <c r="J32" s="194" t="s">
        <v>171</v>
      </c>
      <c r="K32" s="128" t="s">
        <v>223</v>
      </c>
    </row>
    <row r="33" spans="1:11" ht="45" x14ac:dyDescent="0.25">
      <c r="A33" s="128">
        <f t="shared" si="1"/>
        <v>18</v>
      </c>
      <c r="B33" s="101" t="s">
        <v>161</v>
      </c>
      <c r="C33" s="128" t="s">
        <v>254</v>
      </c>
      <c r="D33" s="102">
        <v>69647</v>
      </c>
      <c r="E33" s="129">
        <f t="shared" si="2"/>
        <v>10447</v>
      </c>
      <c r="F33" s="102">
        <v>59200</v>
      </c>
      <c r="G33" s="103">
        <f t="shared" si="0"/>
        <v>0.85000071790601173</v>
      </c>
      <c r="H33" s="128" t="s">
        <v>176</v>
      </c>
      <c r="I33" s="104" t="s">
        <v>28</v>
      </c>
      <c r="J33" s="194" t="s">
        <v>172</v>
      </c>
      <c r="K33" s="128" t="s">
        <v>223</v>
      </c>
    </row>
    <row r="34" spans="1:11" ht="60" x14ac:dyDescent="0.25">
      <c r="A34" s="128">
        <f t="shared" si="1"/>
        <v>19</v>
      </c>
      <c r="B34" s="130" t="s">
        <v>178</v>
      </c>
      <c r="C34" s="128" t="s">
        <v>254</v>
      </c>
      <c r="D34" s="129">
        <v>166891</v>
      </c>
      <c r="E34" s="129">
        <f t="shared" si="2"/>
        <v>46891</v>
      </c>
      <c r="F34" s="102">
        <v>120000</v>
      </c>
      <c r="G34" s="103">
        <f t="shared" si="0"/>
        <v>0.71903218268210989</v>
      </c>
      <c r="H34" s="131" t="s">
        <v>180</v>
      </c>
      <c r="I34" s="104" t="s">
        <v>28</v>
      </c>
      <c r="J34" s="195" t="s">
        <v>179</v>
      </c>
      <c r="K34" s="128" t="s">
        <v>222</v>
      </c>
    </row>
    <row r="35" spans="1:11" ht="120" x14ac:dyDescent="0.25">
      <c r="A35" s="128">
        <f t="shared" si="1"/>
        <v>20</v>
      </c>
      <c r="B35" s="101" t="s">
        <v>159</v>
      </c>
      <c r="C35" s="128" t="s">
        <v>254</v>
      </c>
      <c r="D35" s="102">
        <v>29411.759999999998</v>
      </c>
      <c r="E35" s="129">
        <f t="shared" si="2"/>
        <v>4411.7599999999984</v>
      </c>
      <c r="F35" s="102">
        <v>25000</v>
      </c>
      <c r="G35" s="103">
        <f t="shared" si="0"/>
        <v>0.85000013600002178</v>
      </c>
      <c r="H35" s="128" t="s">
        <v>175</v>
      </c>
      <c r="I35" s="104" t="s">
        <v>28</v>
      </c>
      <c r="J35" s="194" t="s">
        <v>170</v>
      </c>
      <c r="K35" s="128" t="s">
        <v>223</v>
      </c>
    </row>
    <row r="36" spans="1:11" ht="105" x14ac:dyDescent="0.25">
      <c r="A36" s="128">
        <f t="shared" si="1"/>
        <v>21</v>
      </c>
      <c r="B36" s="105" t="s">
        <v>148</v>
      </c>
      <c r="C36" s="128" t="s">
        <v>254</v>
      </c>
      <c r="D36" s="106">
        <v>9480</v>
      </c>
      <c r="E36" s="129">
        <f t="shared" si="2"/>
        <v>0</v>
      </c>
      <c r="F36" s="106">
        <v>9480</v>
      </c>
      <c r="G36" s="103">
        <f t="shared" si="0"/>
        <v>1</v>
      </c>
      <c r="H36" s="128" t="s">
        <v>149</v>
      </c>
      <c r="I36" s="107" t="s">
        <v>150</v>
      </c>
      <c r="J36" s="194" t="s">
        <v>151</v>
      </c>
      <c r="K36" s="128" t="s">
        <v>222</v>
      </c>
    </row>
    <row r="37" spans="1:11" ht="60" x14ac:dyDescent="0.25">
      <c r="A37" s="128">
        <f t="shared" si="1"/>
        <v>22</v>
      </c>
      <c r="B37" s="101" t="s">
        <v>155</v>
      </c>
      <c r="C37" s="128" t="s">
        <v>254</v>
      </c>
      <c r="D37" s="102">
        <v>22708.92</v>
      </c>
      <c r="E37" s="129">
        <f t="shared" si="2"/>
        <v>3405.9199999999983</v>
      </c>
      <c r="F37" s="102">
        <v>19303</v>
      </c>
      <c r="G37" s="103">
        <f t="shared" si="0"/>
        <v>0.85001840686391084</v>
      </c>
      <c r="H37" s="128" t="s">
        <v>174</v>
      </c>
      <c r="I37" s="104" t="s">
        <v>28</v>
      </c>
      <c r="J37" s="194" t="s">
        <v>166</v>
      </c>
      <c r="K37" s="128" t="s">
        <v>222</v>
      </c>
    </row>
    <row r="38" spans="1:11" ht="30" x14ac:dyDescent="0.25">
      <c r="A38" s="128">
        <f t="shared" si="1"/>
        <v>23</v>
      </c>
      <c r="B38" s="132" t="s">
        <v>206</v>
      </c>
      <c r="C38" s="128" t="s">
        <v>254</v>
      </c>
      <c r="D38" s="133">
        <v>637948</v>
      </c>
      <c r="E38" s="129">
        <f>D38-F38</f>
        <v>274318</v>
      </c>
      <c r="F38" s="133">
        <v>363630</v>
      </c>
      <c r="G38" s="103">
        <f t="shared" si="0"/>
        <v>0.56999943569068323</v>
      </c>
      <c r="H38" s="128"/>
      <c r="I38" s="104" t="s">
        <v>231</v>
      </c>
      <c r="J38" s="195" t="s">
        <v>271</v>
      </c>
      <c r="K38" s="128" t="s">
        <v>232</v>
      </c>
    </row>
    <row r="39" spans="1:11" ht="30" x14ac:dyDescent="0.25">
      <c r="A39" s="135">
        <f t="shared" si="1"/>
        <v>24</v>
      </c>
      <c r="B39" s="134" t="s">
        <v>229</v>
      </c>
      <c r="C39" s="80" t="s">
        <v>255</v>
      </c>
      <c r="D39" s="136">
        <v>170000</v>
      </c>
      <c r="E39" s="137">
        <f>D39-F39</f>
        <v>65000</v>
      </c>
      <c r="F39" s="136">
        <v>105000</v>
      </c>
      <c r="G39" s="108">
        <f t="shared" si="0"/>
        <v>0.61764705882352944</v>
      </c>
      <c r="H39" s="135" t="s">
        <v>230</v>
      </c>
      <c r="I39" s="109" t="s">
        <v>231</v>
      </c>
      <c r="J39" s="196" t="s">
        <v>272</v>
      </c>
      <c r="K39" s="135" t="s">
        <v>223</v>
      </c>
    </row>
    <row r="40" spans="1:11" ht="30" x14ac:dyDescent="0.25">
      <c r="A40" s="135">
        <f t="shared" si="1"/>
        <v>25</v>
      </c>
      <c r="B40" s="110" t="s">
        <v>135</v>
      </c>
      <c r="C40" s="80" t="s">
        <v>255</v>
      </c>
      <c r="D40" s="111">
        <v>1861316.02</v>
      </c>
      <c r="E40" s="137">
        <f t="shared" ref="E40:E53" si="3">SUM(D40-F40)</f>
        <v>279197.02</v>
      </c>
      <c r="F40" s="111">
        <v>1582119</v>
      </c>
      <c r="G40" s="108">
        <f t="shared" ref="G40:G58" si="4">F40/D40</f>
        <v>0.85000020576838964</v>
      </c>
      <c r="H40" s="135" t="s">
        <v>146</v>
      </c>
      <c r="I40" s="112" t="s">
        <v>226</v>
      </c>
      <c r="J40" s="197" t="s">
        <v>141</v>
      </c>
      <c r="K40" s="135" t="s">
        <v>223</v>
      </c>
    </row>
    <row r="41" spans="1:11" ht="30" x14ac:dyDescent="0.25">
      <c r="A41" s="135">
        <f t="shared" si="1"/>
        <v>26</v>
      </c>
      <c r="B41" s="134" t="s">
        <v>207</v>
      </c>
      <c r="C41" s="80" t="s">
        <v>255</v>
      </c>
      <c r="D41" s="136">
        <v>320000</v>
      </c>
      <c r="E41" s="137">
        <v>160000</v>
      </c>
      <c r="F41" s="136">
        <v>160000</v>
      </c>
      <c r="G41" s="108">
        <f>F41/D41</f>
        <v>0.5</v>
      </c>
      <c r="H41" s="135" t="s">
        <v>215</v>
      </c>
      <c r="I41" s="109" t="s">
        <v>226</v>
      </c>
      <c r="J41" s="196" t="s">
        <v>266</v>
      </c>
      <c r="K41" s="135" t="s">
        <v>223</v>
      </c>
    </row>
    <row r="42" spans="1:11" ht="30" x14ac:dyDescent="0.25">
      <c r="A42" s="135">
        <f t="shared" si="1"/>
        <v>27</v>
      </c>
      <c r="B42" s="134" t="s">
        <v>214</v>
      </c>
      <c r="C42" s="80" t="s">
        <v>255</v>
      </c>
      <c r="D42" s="136">
        <v>51000</v>
      </c>
      <c r="E42" s="137">
        <v>0</v>
      </c>
      <c r="F42" s="136">
        <v>51000</v>
      </c>
      <c r="G42" s="108">
        <f>F42/D42</f>
        <v>1</v>
      </c>
      <c r="H42" s="135" t="s">
        <v>215</v>
      </c>
      <c r="I42" s="109" t="s">
        <v>228</v>
      </c>
      <c r="J42" s="196">
        <v>2019</v>
      </c>
      <c r="K42" s="135" t="s">
        <v>223</v>
      </c>
    </row>
    <row r="43" spans="1:11" ht="45" x14ac:dyDescent="0.25">
      <c r="A43" s="135">
        <f t="shared" si="1"/>
        <v>28</v>
      </c>
      <c r="B43" s="134" t="s">
        <v>240</v>
      </c>
      <c r="C43" s="80" t="s">
        <v>255</v>
      </c>
      <c r="D43" s="136">
        <f>F43/90%</f>
        <v>38888.888888888891</v>
      </c>
      <c r="E43" s="137">
        <f>D43-F43</f>
        <v>3888.8888888888905</v>
      </c>
      <c r="F43" s="136">
        <v>35000</v>
      </c>
      <c r="G43" s="108">
        <f t="shared" ref="G43" si="5">F43/D43</f>
        <v>0.89999999999999991</v>
      </c>
      <c r="H43" s="135" t="s">
        <v>93</v>
      </c>
      <c r="I43" s="109" t="s">
        <v>231</v>
      </c>
      <c r="J43" s="196" t="s">
        <v>269</v>
      </c>
      <c r="K43" s="135" t="s">
        <v>223</v>
      </c>
    </row>
    <row r="44" spans="1:11" ht="60" x14ac:dyDescent="0.25">
      <c r="A44" s="135">
        <f t="shared" si="1"/>
        <v>29</v>
      </c>
      <c r="B44" s="134" t="s">
        <v>237</v>
      </c>
      <c r="C44" s="80" t="s">
        <v>255</v>
      </c>
      <c r="D44" s="136">
        <f>F44/90%</f>
        <v>16666.666666666668</v>
      </c>
      <c r="E44" s="137">
        <f>D44-F44</f>
        <v>1666.6666666666679</v>
      </c>
      <c r="F44" s="136">
        <v>15000</v>
      </c>
      <c r="G44" s="108">
        <f>F44/D44</f>
        <v>0.89999999999999991</v>
      </c>
      <c r="H44" s="135" t="s">
        <v>93</v>
      </c>
      <c r="I44" s="109" t="s">
        <v>231</v>
      </c>
      <c r="J44" s="196" t="s">
        <v>269</v>
      </c>
      <c r="K44" s="135" t="s">
        <v>223</v>
      </c>
    </row>
    <row r="45" spans="1:11" ht="60" x14ac:dyDescent="0.25">
      <c r="A45" s="135">
        <f t="shared" si="1"/>
        <v>30</v>
      </c>
      <c r="B45" s="138" t="s">
        <v>245</v>
      </c>
      <c r="C45" s="80" t="s">
        <v>255</v>
      </c>
      <c r="D45" s="136">
        <f t="shared" ref="D45:D47" si="6">F45/90%</f>
        <v>31700</v>
      </c>
      <c r="E45" s="137">
        <f t="shared" ref="E45:E47" si="7">D45-F45</f>
        <v>3170</v>
      </c>
      <c r="F45" s="137">
        <v>28530</v>
      </c>
      <c r="G45" s="108">
        <f t="shared" ref="G45:G47" si="8">F45/D45</f>
        <v>0.9</v>
      </c>
      <c r="H45" s="135" t="s">
        <v>93</v>
      </c>
      <c r="I45" s="109" t="s">
        <v>246</v>
      </c>
      <c r="J45" s="196" t="s">
        <v>270</v>
      </c>
      <c r="K45" s="135" t="s">
        <v>222</v>
      </c>
    </row>
    <row r="46" spans="1:11" ht="30" x14ac:dyDescent="0.25">
      <c r="A46" s="135">
        <f t="shared" si="1"/>
        <v>31</v>
      </c>
      <c r="B46" s="202" t="s">
        <v>238</v>
      </c>
      <c r="C46" s="203" t="s">
        <v>255</v>
      </c>
      <c r="D46" s="136">
        <f t="shared" si="6"/>
        <v>32280</v>
      </c>
      <c r="E46" s="204">
        <f t="shared" si="7"/>
        <v>3228</v>
      </c>
      <c r="F46" s="136">
        <v>29052</v>
      </c>
      <c r="G46" s="82">
        <f t="shared" si="8"/>
        <v>0.9</v>
      </c>
      <c r="H46" s="135" t="s">
        <v>93</v>
      </c>
      <c r="I46" s="81" t="s">
        <v>239</v>
      </c>
      <c r="J46" s="196" t="s">
        <v>268</v>
      </c>
      <c r="K46" s="135" t="s">
        <v>223</v>
      </c>
    </row>
    <row r="47" spans="1:11" ht="30" x14ac:dyDescent="0.25">
      <c r="A47" s="135">
        <f t="shared" si="1"/>
        <v>32</v>
      </c>
      <c r="B47" s="202" t="s">
        <v>242</v>
      </c>
      <c r="C47" s="203" t="s">
        <v>255</v>
      </c>
      <c r="D47" s="136">
        <f t="shared" si="6"/>
        <v>16752</v>
      </c>
      <c r="E47" s="204">
        <f t="shared" si="7"/>
        <v>1675.2000000000007</v>
      </c>
      <c r="F47" s="136">
        <v>15076.8</v>
      </c>
      <c r="G47" s="82">
        <f t="shared" si="8"/>
        <v>0.89999999999999991</v>
      </c>
      <c r="H47" s="135" t="s">
        <v>93</v>
      </c>
      <c r="I47" s="81" t="s">
        <v>239</v>
      </c>
      <c r="J47" s="196">
        <v>2018</v>
      </c>
      <c r="K47" s="135" t="s">
        <v>222</v>
      </c>
    </row>
    <row r="48" spans="1:11" ht="60" x14ac:dyDescent="0.25">
      <c r="A48" s="140">
        <f t="shared" si="1"/>
        <v>33</v>
      </c>
      <c r="B48" s="141" t="s">
        <v>162</v>
      </c>
      <c r="C48" s="140" t="s">
        <v>256</v>
      </c>
      <c r="D48" s="142">
        <v>21600</v>
      </c>
      <c r="E48" s="143">
        <f>SUM(D48-F48)</f>
        <v>11601</v>
      </c>
      <c r="F48" s="142">
        <v>9999</v>
      </c>
      <c r="G48" s="144">
        <f>F48/D48</f>
        <v>0.46291666666666664</v>
      </c>
      <c r="H48" s="140" t="s">
        <v>175</v>
      </c>
      <c r="I48" s="145" t="s">
        <v>28</v>
      </c>
      <c r="J48" s="198" t="s">
        <v>173</v>
      </c>
      <c r="K48" s="140" t="s">
        <v>223</v>
      </c>
    </row>
    <row r="49" spans="1:11" ht="45" x14ac:dyDescent="0.25">
      <c r="A49" s="140">
        <f t="shared" si="1"/>
        <v>34</v>
      </c>
      <c r="B49" s="146" t="s">
        <v>225</v>
      </c>
      <c r="C49" s="140" t="s">
        <v>256</v>
      </c>
      <c r="D49" s="147">
        <f>F49/90%</f>
        <v>22110</v>
      </c>
      <c r="E49" s="143">
        <f>D49-F49</f>
        <v>2211</v>
      </c>
      <c r="F49" s="147">
        <v>19899</v>
      </c>
      <c r="G49" s="144">
        <f>F49/D49</f>
        <v>0.9</v>
      </c>
      <c r="H49" s="140" t="s">
        <v>93</v>
      </c>
      <c r="I49" s="145" t="s">
        <v>231</v>
      </c>
      <c r="J49" s="199" t="s">
        <v>265</v>
      </c>
      <c r="K49" s="140" t="s">
        <v>223</v>
      </c>
    </row>
    <row r="50" spans="1:11" ht="45" x14ac:dyDescent="0.25">
      <c r="A50" s="140">
        <f t="shared" si="1"/>
        <v>35</v>
      </c>
      <c r="B50" s="146" t="s">
        <v>243</v>
      </c>
      <c r="C50" s="140" t="s">
        <v>256</v>
      </c>
      <c r="D50" s="147">
        <f>F50/90%</f>
        <v>33333.333333333336</v>
      </c>
      <c r="E50" s="143">
        <f>D50-F50</f>
        <v>3333.3333333333358</v>
      </c>
      <c r="F50" s="147">
        <v>30000</v>
      </c>
      <c r="G50" s="144">
        <f>F50/D50</f>
        <v>0.89999999999999991</v>
      </c>
      <c r="H50" s="140" t="s">
        <v>93</v>
      </c>
      <c r="I50" s="145" t="s">
        <v>231</v>
      </c>
      <c r="J50" s="199" t="s">
        <v>266</v>
      </c>
      <c r="K50" s="140" t="s">
        <v>223</v>
      </c>
    </row>
    <row r="51" spans="1:11" ht="30" x14ac:dyDescent="0.25">
      <c r="A51" s="140">
        <f t="shared" si="1"/>
        <v>36</v>
      </c>
      <c r="B51" s="146" t="s">
        <v>235</v>
      </c>
      <c r="C51" s="140" t="s">
        <v>256</v>
      </c>
      <c r="D51" s="143">
        <f>E51+F51</f>
        <v>230000</v>
      </c>
      <c r="E51" s="147">
        <v>120000</v>
      </c>
      <c r="F51" s="143">
        <v>110000</v>
      </c>
      <c r="G51" s="144">
        <f>F51/D51</f>
        <v>0.47826086956521741</v>
      </c>
      <c r="H51" s="140" t="s">
        <v>264</v>
      </c>
      <c r="I51" s="145" t="s">
        <v>231</v>
      </c>
      <c r="J51" s="199" t="s">
        <v>263</v>
      </c>
      <c r="K51" s="140" t="s">
        <v>223</v>
      </c>
    </row>
    <row r="52" spans="1:11" ht="30" x14ac:dyDescent="0.25">
      <c r="A52" s="140">
        <f t="shared" si="1"/>
        <v>37</v>
      </c>
      <c r="B52" s="146" t="s">
        <v>204</v>
      </c>
      <c r="C52" s="140" t="s">
        <v>256</v>
      </c>
      <c r="D52" s="147">
        <v>28560</v>
      </c>
      <c r="E52" s="143">
        <f t="shared" si="3"/>
        <v>2860</v>
      </c>
      <c r="F52" s="147">
        <v>25700</v>
      </c>
      <c r="G52" s="144">
        <f t="shared" si="4"/>
        <v>0.89985994397759106</v>
      </c>
      <c r="H52" s="140" t="s">
        <v>3</v>
      </c>
      <c r="I52" s="145" t="s">
        <v>231</v>
      </c>
      <c r="J52" s="199">
        <v>2019</v>
      </c>
      <c r="K52" s="140" t="s">
        <v>223</v>
      </c>
    </row>
    <row r="53" spans="1:11" ht="30" x14ac:dyDescent="0.25">
      <c r="A53" s="140">
        <f t="shared" si="1"/>
        <v>38</v>
      </c>
      <c r="B53" s="146" t="s">
        <v>205</v>
      </c>
      <c r="C53" s="140" t="s">
        <v>256</v>
      </c>
      <c r="D53" s="147">
        <v>25920</v>
      </c>
      <c r="E53" s="143">
        <f t="shared" si="3"/>
        <v>2592</v>
      </c>
      <c r="F53" s="147">
        <v>23328</v>
      </c>
      <c r="G53" s="144">
        <f t="shared" si="4"/>
        <v>0.9</v>
      </c>
      <c r="H53" s="140" t="s">
        <v>3</v>
      </c>
      <c r="I53" s="145" t="s">
        <v>231</v>
      </c>
      <c r="J53" s="199">
        <v>2019</v>
      </c>
      <c r="K53" s="140" t="s">
        <v>223</v>
      </c>
    </row>
    <row r="54" spans="1:11" ht="30" x14ac:dyDescent="0.25">
      <c r="A54" s="140">
        <f t="shared" si="1"/>
        <v>39</v>
      </c>
      <c r="B54" s="146" t="s">
        <v>244</v>
      </c>
      <c r="C54" s="140" t="s">
        <v>256</v>
      </c>
      <c r="D54" s="147">
        <f>E54+F54</f>
        <v>65584</v>
      </c>
      <c r="E54" s="143">
        <v>35000</v>
      </c>
      <c r="F54" s="147">
        <v>30584</v>
      </c>
      <c r="G54" s="144">
        <f>F54/D54</f>
        <v>0.46633325201268599</v>
      </c>
      <c r="H54" s="140" t="s">
        <v>93</v>
      </c>
      <c r="I54" s="145" t="s">
        <v>231</v>
      </c>
      <c r="J54" s="199" t="s">
        <v>267</v>
      </c>
      <c r="K54" s="140" t="s">
        <v>223</v>
      </c>
    </row>
    <row r="55" spans="1:11" ht="15" x14ac:dyDescent="0.25">
      <c r="A55" s="140">
        <f t="shared" si="1"/>
        <v>40</v>
      </c>
      <c r="B55" s="148" t="s">
        <v>241</v>
      </c>
      <c r="C55" s="140" t="s">
        <v>256</v>
      </c>
      <c r="D55" s="147">
        <f>F55/90%</f>
        <v>38887.422222222223</v>
      </c>
      <c r="E55" s="143">
        <f>D55-F55</f>
        <v>3888.7422222222231</v>
      </c>
      <c r="F55" s="147">
        <v>34998.68</v>
      </c>
      <c r="G55" s="144">
        <f>F55/D55</f>
        <v>0.9</v>
      </c>
      <c r="H55" s="140" t="s">
        <v>93</v>
      </c>
      <c r="I55" s="145"/>
      <c r="J55" s="199" t="s">
        <v>269</v>
      </c>
      <c r="K55" s="140" t="s">
        <v>223</v>
      </c>
    </row>
    <row r="56" spans="1:11" ht="90" x14ac:dyDescent="0.25">
      <c r="A56" s="140">
        <f t="shared" si="1"/>
        <v>41</v>
      </c>
      <c r="B56" s="141" t="s">
        <v>154</v>
      </c>
      <c r="C56" s="140" t="s">
        <v>256</v>
      </c>
      <c r="D56" s="142">
        <v>6404.34</v>
      </c>
      <c r="E56" s="143">
        <f>SUM(D56-F56)</f>
        <v>960.34000000000015</v>
      </c>
      <c r="F56" s="142">
        <v>5444</v>
      </c>
      <c r="G56" s="144">
        <f>F56/D56</f>
        <v>0.85004856081969415</v>
      </c>
      <c r="H56" s="140" t="s">
        <v>146</v>
      </c>
      <c r="I56" s="145" t="s">
        <v>28</v>
      </c>
      <c r="J56" s="198" t="s">
        <v>165</v>
      </c>
      <c r="K56" s="140" t="s">
        <v>222</v>
      </c>
    </row>
    <row r="57" spans="1:11" ht="75" x14ac:dyDescent="0.25">
      <c r="A57" s="140">
        <f t="shared" si="1"/>
        <v>42</v>
      </c>
      <c r="B57" s="141" t="s">
        <v>156</v>
      </c>
      <c r="C57" s="140" t="s">
        <v>256</v>
      </c>
      <c r="D57" s="142">
        <v>9194.09</v>
      </c>
      <c r="E57" s="143">
        <f>SUM(D57-F57)</f>
        <v>1379.0900000000001</v>
      </c>
      <c r="F57" s="142">
        <v>7815</v>
      </c>
      <c r="G57" s="144">
        <f>F57/D57</f>
        <v>0.8500025559897717</v>
      </c>
      <c r="H57" s="140" t="s">
        <v>175</v>
      </c>
      <c r="I57" s="145" t="s">
        <v>28</v>
      </c>
      <c r="J57" s="198" t="s">
        <v>167</v>
      </c>
      <c r="K57" s="140" t="s">
        <v>222</v>
      </c>
    </row>
    <row r="58" spans="1:11" ht="15" x14ac:dyDescent="0.25">
      <c r="A58" s="149"/>
      <c r="B58" s="149" t="s">
        <v>208</v>
      </c>
      <c r="C58" s="149"/>
      <c r="D58" s="139">
        <f>SUM(D16:D57)</f>
        <v>17315416.94111111</v>
      </c>
      <c r="E58" s="139">
        <f>SUM(E16:E57)</f>
        <v>6392430.4611111106</v>
      </c>
      <c r="F58" s="139">
        <f>SUM(F16:F57)</f>
        <v>10922986.48</v>
      </c>
      <c r="G58" s="150">
        <f t="shared" si="4"/>
        <v>0.63082434094128637</v>
      </c>
      <c r="H58" s="149"/>
      <c r="I58" s="149"/>
      <c r="J58" s="149"/>
      <c r="K58" s="149"/>
    </row>
    <row r="59" spans="1:11" x14ac:dyDescent="0.2">
      <c r="E59" s="53"/>
    </row>
    <row r="60" spans="1:11" x14ac:dyDescent="0.2">
      <c r="D60" s="53"/>
      <c r="E60" s="53"/>
    </row>
    <row r="61" spans="1:11" x14ac:dyDescent="0.2">
      <c r="E61" s="53"/>
    </row>
    <row r="62" spans="1:11" x14ac:dyDescent="0.2">
      <c r="E62" s="53"/>
    </row>
    <row r="63" spans="1:11" x14ac:dyDescent="0.2">
      <c r="E63" s="53"/>
    </row>
    <row r="64" spans="1:11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</sheetData>
  <mergeCells count="2">
    <mergeCell ref="C3:F3"/>
    <mergeCell ref="G3:H3"/>
  </mergeCells>
  <phoneticPr fontId="6" type="noConversion"/>
  <hyperlinks>
    <hyperlink ref="B45" r:id="rId1" display="http://www.jogevamaa.com/projektilood/alates-2016/uudis/2019/03/15/kunstlund-tuleb-toota-ka-lumisel-talvel" xr:uid="{00000000-0004-0000-0000-000000000000}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3A55-E0C8-4C1A-8616-8555FD148863}">
  <dimension ref="A1:K23"/>
  <sheetViews>
    <sheetView workbookViewId="0">
      <selection activeCell="B37" sqref="B37"/>
    </sheetView>
  </sheetViews>
  <sheetFormatPr defaultRowHeight="12.75" x14ac:dyDescent="0.2"/>
  <cols>
    <col min="1" max="1" width="6.140625" bestFit="1" customWidth="1"/>
    <col min="2" max="2" width="31.42578125" customWidth="1"/>
    <col min="3" max="3" width="15" bestFit="1" customWidth="1"/>
    <col min="4" max="4" width="17" bestFit="1" customWidth="1"/>
    <col min="5" max="5" width="15.5703125" bestFit="1" customWidth="1"/>
    <col min="6" max="6" width="10.28515625" bestFit="1" customWidth="1"/>
    <col min="7" max="7" width="7.5703125" bestFit="1" customWidth="1"/>
    <col min="8" max="8" width="17.28515625" bestFit="1" customWidth="1"/>
    <col min="9" max="9" width="13.42578125" bestFit="1" customWidth="1"/>
    <col min="10" max="10" width="21.85546875" bestFit="1" customWidth="1"/>
    <col min="11" max="11" width="8.5703125" bestFit="1" customWidth="1"/>
  </cols>
  <sheetData>
    <row r="1" spans="1:11" x14ac:dyDescent="0.2">
      <c r="B1" s="228"/>
      <c r="I1" s="228"/>
    </row>
    <row r="2" spans="1:11" ht="13.5" thickBot="1" x14ac:dyDescent="0.25">
      <c r="B2" s="228"/>
      <c r="I2" s="228"/>
    </row>
    <row r="3" spans="1:11" ht="25.5" x14ac:dyDescent="0.2">
      <c r="A3" s="229" t="s">
        <v>247</v>
      </c>
      <c r="B3" s="230" t="s">
        <v>0</v>
      </c>
      <c r="C3" s="231" t="s">
        <v>48</v>
      </c>
      <c r="D3" s="232" t="s">
        <v>130</v>
      </c>
      <c r="E3" s="231" t="s">
        <v>1</v>
      </c>
      <c r="F3" s="233" t="s">
        <v>129</v>
      </c>
      <c r="G3" s="233" t="s">
        <v>128</v>
      </c>
      <c r="H3" s="231" t="s">
        <v>47</v>
      </c>
      <c r="I3" s="233" t="s">
        <v>49</v>
      </c>
      <c r="J3" s="231" t="s">
        <v>46</v>
      </c>
      <c r="K3" s="234" t="s">
        <v>62</v>
      </c>
    </row>
    <row r="4" spans="1:11" ht="38.25" x14ac:dyDescent="0.2">
      <c r="A4" s="56">
        <v>1</v>
      </c>
      <c r="B4" s="61" t="s">
        <v>273</v>
      </c>
      <c r="C4" s="61" t="s">
        <v>96</v>
      </c>
      <c r="D4" s="56">
        <v>1440005.6</v>
      </c>
      <c r="E4" s="56">
        <v>216000.9</v>
      </c>
      <c r="F4" s="56">
        <v>1224004.7</v>
      </c>
      <c r="G4" s="56"/>
      <c r="H4" s="56" t="s">
        <v>146</v>
      </c>
      <c r="I4" s="61" t="s">
        <v>274</v>
      </c>
      <c r="J4" s="56" t="s">
        <v>275</v>
      </c>
      <c r="K4" s="56" t="s">
        <v>276</v>
      </c>
    </row>
    <row r="5" spans="1:11" ht="38.25" x14ac:dyDescent="0.2">
      <c r="A5" s="56">
        <v>2</v>
      </c>
      <c r="B5" s="61" t="s">
        <v>277</v>
      </c>
      <c r="C5" s="61" t="s">
        <v>96</v>
      </c>
      <c r="D5" s="56">
        <v>565236.77</v>
      </c>
      <c r="E5" s="56">
        <v>126396.51</v>
      </c>
      <c r="F5" s="56">
        <v>438840.26</v>
      </c>
      <c r="G5" s="56"/>
      <c r="H5" s="56" t="s">
        <v>146</v>
      </c>
      <c r="I5" s="61" t="s">
        <v>274</v>
      </c>
      <c r="J5" s="56" t="s">
        <v>278</v>
      </c>
      <c r="K5" s="56" t="s">
        <v>276</v>
      </c>
    </row>
    <row r="6" spans="1:11" ht="63.75" x14ac:dyDescent="0.2">
      <c r="A6" s="56">
        <v>3</v>
      </c>
      <c r="B6" s="61" t="s">
        <v>279</v>
      </c>
      <c r="C6" s="56"/>
      <c r="D6" s="56">
        <v>70873.350000000006</v>
      </c>
      <c r="E6" s="56">
        <v>10631.01</v>
      </c>
      <c r="F6" s="56">
        <v>60242.34</v>
      </c>
      <c r="G6" s="56"/>
      <c r="H6" s="56" t="s">
        <v>280</v>
      </c>
      <c r="I6" s="61" t="s">
        <v>274</v>
      </c>
      <c r="J6" s="56">
        <v>2009</v>
      </c>
      <c r="K6" s="56" t="s">
        <v>276</v>
      </c>
    </row>
    <row r="7" spans="1:11" ht="64.5" x14ac:dyDescent="0.25">
      <c r="A7" s="56">
        <v>4</v>
      </c>
      <c r="B7" s="61" t="s">
        <v>281</v>
      </c>
      <c r="C7" s="57"/>
      <c r="D7" s="235">
        <v>6866054.54</v>
      </c>
      <c r="E7" s="70">
        <f>SUM(D7-F7)</f>
        <v>1029908.54</v>
      </c>
      <c r="F7" s="236">
        <v>5836146</v>
      </c>
      <c r="G7" s="57"/>
      <c r="H7" s="56" t="s">
        <v>282</v>
      </c>
      <c r="I7" s="61" t="s">
        <v>283</v>
      </c>
      <c r="J7" s="56" t="s">
        <v>284</v>
      </c>
      <c r="K7" s="56" t="s">
        <v>276</v>
      </c>
    </row>
    <row r="8" spans="1:11" ht="63.75" x14ac:dyDescent="0.2">
      <c r="A8" s="56">
        <v>5</v>
      </c>
      <c r="B8" s="61" t="s">
        <v>285</v>
      </c>
      <c r="C8" s="61" t="s">
        <v>96</v>
      </c>
      <c r="D8" s="56">
        <v>532368</v>
      </c>
      <c r="E8" s="56">
        <v>26619</v>
      </c>
      <c r="F8" s="56">
        <v>505749</v>
      </c>
      <c r="G8" s="56"/>
      <c r="H8" s="56" t="s">
        <v>286</v>
      </c>
      <c r="I8" s="61" t="s">
        <v>287</v>
      </c>
      <c r="J8" s="56" t="s">
        <v>288</v>
      </c>
      <c r="K8" s="56" t="s">
        <v>276</v>
      </c>
    </row>
    <row r="9" spans="1:11" ht="38.25" x14ac:dyDescent="0.2">
      <c r="A9" s="56">
        <v>6</v>
      </c>
      <c r="B9" s="61" t="s">
        <v>289</v>
      </c>
      <c r="C9" s="56" t="s">
        <v>42</v>
      </c>
      <c r="D9" s="56">
        <v>1629476</v>
      </c>
      <c r="E9" s="56">
        <v>0</v>
      </c>
      <c r="F9" s="56">
        <v>1629476</v>
      </c>
      <c r="G9" s="56"/>
      <c r="H9" s="56" t="s">
        <v>147</v>
      </c>
      <c r="I9" s="61" t="s">
        <v>274</v>
      </c>
      <c r="J9" s="56" t="s">
        <v>290</v>
      </c>
      <c r="K9" s="56" t="s">
        <v>276</v>
      </c>
    </row>
    <row r="10" spans="1:11" ht="38.25" x14ac:dyDescent="0.2">
      <c r="A10" s="56">
        <v>7</v>
      </c>
      <c r="B10" s="61" t="s">
        <v>291</v>
      </c>
      <c r="C10" s="61" t="s">
        <v>96</v>
      </c>
      <c r="D10" s="56">
        <v>222955</v>
      </c>
      <c r="E10" s="56">
        <v>0</v>
      </c>
      <c r="F10" s="56">
        <v>222955</v>
      </c>
      <c r="G10" s="56"/>
      <c r="H10" s="56" t="s">
        <v>121</v>
      </c>
      <c r="I10" s="61" t="s">
        <v>274</v>
      </c>
      <c r="J10" s="56">
        <v>2012</v>
      </c>
      <c r="K10" s="56" t="s">
        <v>276</v>
      </c>
    </row>
    <row r="11" spans="1:11" ht="76.5" x14ac:dyDescent="0.2">
      <c r="A11" s="56">
        <v>8</v>
      </c>
      <c r="B11" s="61" t="s">
        <v>292</v>
      </c>
      <c r="C11" s="61" t="s">
        <v>96</v>
      </c>
      <c r="D11" s="237">
        <v>40954.5</v>
      </c>
      <c r="E11" s="56">
        <v>6962.26</v>
      </c>
      <c r="F11" s="56">
        <v>33992.239999999998</v>
      </c>
      <c r="G11" s="56"/>
      <c r="H11" s="56" t="s">
        <v>293</v>
      </c>
      <c r="I11" s="61" t="s">
        <v>294</v>
      </c>
      <c r="J11" s="56" t="s">
        <v>295</v>
      </c>
      <c r="K11" s="56" t="s">
        <v>276</v>
      </c>
    </row>
    <row r="12" spans="1:11" ht="25.5" x14ac:dyDescent="0.2">
      <c r="A12" s="56">
        <v>9</v>
      </c>
      <c r="B12" s="61" t="s">
        <v>296</v>
      </c>
      <c r="C12" s="56"/>
      <c r="D12" s="56">
        <v>60807</v>
      </c>
      <c r="E12" s="56">
        <v>6200</v>
      </c>
      <c r="F12" s="56">
        <v>54607</v>
      </c>
      <c r="G12" s="56"/>
      <c r="H12" s="56" t="s">
        <v>297</v>
      </c>
      <c r="I12" s="61" t="s">
        <v>298</v>
      </c>
      <c r="J12" s="56" t="s">
        <v>299</v>
      </c>
      <c r="K12" s="56" t="s">
        <v>276</v>
      </c>
    </row>
    <row r="13" spans="1:11" ht="51" x14ac:dyDescent="0.2">
      <c r="A13" s="56">
        <v>10</v>
      </c>
      <c r="B13" s="61" t="s">
        <v>300</v>
      </c>
      <c r="C13" s="56"/>
      <c r="D13" s="56">
        <v>199419.33</v>
      </c>
      <c r="E13" s="56">
        <v>29912.9</v>
      </c>
      <c r="F13" s="56">
        <v>169506.43</v>
      </c>
      <c r="G13" s="56"/>
      <c r="H13" s="56" t="s">
        <v>146</v>
      </c>
      <c r="I13" s="61" t="s">
        <v>274</v>
      </c>
      <c r="J13" s="56" t="s">
        <v>301</v>
      </c>
      <c r="K13" s="56" t="s">
        <v>276</v>
      </c>
    </row>
    <row r="14" spans="1:11" ht="25.5" x14ac:dyDescent="0.2">
      <c r="A14" s="56">
        <v>11</v>
      </c>
      <c r="B14" s="61" t="s">
        <v>302</v>
      </c>
      <c r="C14" s="56"/>
      <c r="D14" s="56">
        <v>6816</v>
      </c>
      <c r="E14" s="56">
        <v>1816.46</v>
      </c>
      <c r="F14" s="57" t="s">
        <v>303</v>
      </c>
      <c r="G14" s="56"/>
      <c r="H14" s="56" t="s">
        <v>147</v>
      </c>
      <c r="I14" s="61" t="s">
        <v>274</v>
      </c>
      <c r="J14" s="56" t="s">
        <v>304</v>
      </c>
      <c r="K14" s="56" t="s">
        <v>276</v>
      </c>
    </row>
    <row r="15" spans="1:11" ht="45" x14ac:dyDescent="0.25">
      <c r="A15" s="56">
        <v>12</v>
      </c>
      <c r="B15" s="238" t="s">
        <v>305</v>
      </c>
      <c r="C15" s="56"/>
      <c r="D15" s="239">
        <v>9360.2900000000009</v>
      </c>
      <c r="E15" s="75">
        <f t="shared" ref="E15:E16" si="0">SUM(D15-F15)</f>
        <v>0.29000000000087311</v>
      </c>
      <c r="F15" s="240">
        <v>9360</v>
      </c>
      <c r="G15" s="56">
        <v>100</v>
      </c>
      <c r="H15" s="57" t="s">
        <v>149</v>
      </c>
      <c r="I15" s="57" t="s">
        <v>306</v>
      </c>
      <c r="J15" s="241" t="s">
        <v>307</v>
      </c>
      <c r="K15" s="56" t="s">
        <v>276</v>
      </c>
    </row>
    <row r="16" spans="1:11" ht="45" x14ac:dyDescent="0.25">
      <c r="A16" s="56">
        <v>14</v>
      </c>
      <c r="B16" s="242" t="s">
        <v>308</v>
      </c>
      <c r="C16" s="57" t="s">
        <v>51</v>
      </c>
      <c r="D16" s="235">
        <v>81126.8</v>
      </c>
      <c r="E16" s="70">
        <f t="shared" si="0"/>
        <v>12168.800000000003</v>
      </c>
      <c r="F16" s="243">
        <v>68958</v>
      </c>
      <c r="G16" s="244">
        <v>85</v>
      </c>
      <c r="H16" s="57" t="s">
        <v>3</v>
      </c>
      <c r="I16" s="242" t="s">
        <v>309</v>
      </c>
      <c r="J16" s="244" t="s">
        <v>310</v>
      </c>
      <c r="K16" s="57" t="s">
        <v>276</v>
      </c>
    </row>
    <row r="17" spans="1:11" ht="25.5" x14ac:dyDescent="0.2">
      <c r="A17" s="56">
        <v>15</v>
      </c>
      <c r="B17" s="61" t="s">
        <v>311</v>
      </c>
      <c r="C17" s="56" t="s">
        <v>51</v>
      </c>
      <c r="D17" s="56">
        <v>476613</v>
      </c>
      <c r="E17" s="56"/>
      <c r="F17" s="56"/>
      <c r="G17" s="56"/>
      <c r="H17" s="56" t="s">
        <v>312</v>
      </c>
      <c r="I17" s="61" t="s">
        <v>274</v>
      </c>
      <c r="J17" s="56">
        <v>2013</v>
      </c>
      <c r="K17" s="56" t="s">
        <v>276</v>
      </c>
    </row>
    <row r="18" spans="1:11" ht="63.75" x14ac:dyDescent="0.2">
      <c r="A18" s="56">
        <v>16</v>
      </c>
      <c r="B18" s="61" t="s">
        <v>313</v>
      </c>
      <c r="C18" s="61"/>
      <c r="D18" s="56">
        <v>31029.11</v>
      </c>
      <c r="E18" s="56">
        <v>4654.37</v>
      </c>
      <c r="F18" s="56">
        <v>26374.74</v>
      </c>
      <c r="G18" s="56"/>
      <c r="H18" s="61" t="s">
        <v>314</v>
      </c>
      <c r="I18" s="61" t="s">
        <v>315</v>
      </c>
      <c r="J18" s="56">
        <v>2008</v>
      </c>
      <c r="K18" s="57" t="s">
        <v>276</v>
      </c>
    </row>
    <row r="19" spans="1:11" ht="63.75" x14ac:dyDescent="0.2">
      <c r="A19" s="56">
        <v>17</v>
      </c>
      <c r="B19" s="61" t="s">
        <v>316</v>
      </c>
      <c r="C19" s="56"/>
      <c r="D19" s="56">
        <v>35992.31</v>
      </c>
      <c r="E19" s="56">
        <v>5398.85</v>
      </c>
      <c r="F19" s="56">
        <v>30593.46</v>
      </c>
      <c r="G19" s="56"/>
      <c r="H19" s="61" t="s">
        <v>314</v>
      </c>
      <c r="I19" s="61" t="s">
        <v>317</v>
      </c>
      <c r="J19" s="56">
        <v>2009</v>
      </c>
      <c r="K19" s="57" t="s">
        <v>276</v>
      </c>
    </row>
    <row r="20" spans="1:11" ht="63.75" x14ac:dyDescent="0.2">
      <c r="A20" s="56">
        <v>18</v>
      </c>
      <c r="B20" s="61" t="s">
        <v>318</v>
      </c>
      <c r="C20" s="56"/>
      <c r="D20" s="56">
        <v>28445.03</v>
      </c>
      <c r="E20" s="56">
        <v>4266.8100000000004</v>
      </c>
      <c r="F20" s="56">
        <v>24178.22</v>
      </c>
      <c r="G20" s="56"/>
      <c r="H20" s="61" t="s">
        <v>314</v>
      </c>
      <c r="I20" s="61" t="s">
        <v>319</v>
      </c>
      <c r="J20" s="56">
        <v>2010</v>
      </c>
      <c r="K20" s="57" t="s">
        <v>276</v>
      </c>
    </row>
    <row r="21" spans="1:11" ht="76.5" x14ac:dyDescent="0.2">
      <c r="A21" s="56">
        <v>19</v>
      </c>
      <c r="B21" s="61" t="s">
        <v>320</v>
      </c>
      <c r="C21" s="56"/>
      <c r="D21" s="56">
        <v>36743.5</v>
      </c>
      <c r="E21" s="56">
        <v>5511.53</v>
      </c>
      <c r="F21" s="56">
        <v>31231.97</v>
      </c>
      <c r="G21" s="56"/>
      <c r="H21" s="61" t="s">
        <v>314</v>
      </c>
      <c r="I21" s="61" t="s">
        <v>321</v>
      </c>
      <c r="J21" s="56">
        <v>2011</v>
      </c>
      <c r="K21" s="57" t="s">
        <v>276</v>
      </c>
    </row>
    <row r="22" spans="1:11" ht="63.75" x14ac:dyDescent="0.2">
      <c r="A22" s="56">
        <v>20</v>
      </c>
      <c r="B22" s="61" t="s">
        <v>322</v>
      </c>
      <c r="C22" s="56"/>
      <c r="D22" s="56">
        <v>27163.15</v>
      </c>
      <c r="E22" s="56">
        <v>4074.48</v>
      </c>
      <c r="F22" s="56">
        <v>23088.720000000001</v>
      </c>
      <c r="G22" s="56"/>
      <c r="H22" s="61" t="s">
        <v>314</v>
      </c>
      <c r="I22" s="61" t="s">
        <v>323</v>
      </c>
      <c r="J22" s="56">
        <v>2013</v>
      </c>
      <c r="K22" s="57" t="s">
        <v>276</v>
      </c>
    </row>
    <row r="23" spans="1:11" x14ac:dyDescent="0.2">
      <c r="A23">
        <v>21</v>
      </c>
      <c r="B23" s="228"/>
      <c r="D23" s="245">
        <f>SUM(D4:D22)</f>
        <v>12361439.279999999</v>
      </c>
      <c r="I23" s="2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"/>
  <sheetViews>
    <sheetView topLeftCell="A40" workbookViewId="0">
      <selection activeCell="C55" sqref="C55"/>
    </sheetView>
  </sheetViews>
  <sheetFormatPr defaultRowHeight="12.75" x14ac:dyDescent="0.2"/>
  <cols>
    <col min="1" max="1" width="25.7109375" style="1" customWidth="1"/>
    <col min="2" max="2" width="19.5703125" style="1" customWidth="1"/>
    <col min="3" max="3" width="17.7109375" style="1" customWidth="1"/>
    <col min="4" max="4" width="20.7109375" style="1" customWidth="1"/>
    <col min="5" max="6" width="14.85546875" style="1" customWidth="1"/>
    <col min="7" max="7" width="16.42578125" style="1" customWidth="1"/>
    <col min="8" max="8" width="14.85546875" style="1" customWidth="1"/>
    <col min="9" max="9" width="22.5703125" style="1" customWidth="1"/>
    <col min="10" max="16384" width="9.140625" style="1"/>
  </cols>
  <sheetData>
    <row r="2" spans="1:12" ht="25.5" customHeight="1" x14ac:dyDescent="0.2">
      <c r="A2" s="15" t="s">
        <v>72</v>
      </c>
    </row>
    <row r="3" spans="1:12" x14ac:dyDescent="0.2">
      <c r="A3" s="17" t="s">
        <v>101</v>
      </c>
    </row>
    <row r="4" spans="1:12" ht="25.5" x14ac:dyDescent="0.2">
      <c r="A4" s="62" t="s">
        <v>0</v>
      </c>
      <c r="B4" s="63" t="s">
        <v>48</v>
      </c>
      <c r="C4" s="64" t="s">
        <v>117</v>
      </c>
      <c r="D4" s="65" t="s">
        <v>118</v>
      </c>
      <c r="E4" s="65" t="s">
        <v>119</v>
      </c>
      <c r="F4" s="66" t="s">
        <v>216</v>
      </c>
      <c r="G4" s="65" t="s">
        <v>120</v>
      </c>
      <c r="H4" s="65" t="s">
        <v>49</v>
      </c>
      <c r="I4" s="67" t="s">
        <v>46</v>
      </c>
      <c r="J4" s="3"/>
      <c r="K4" s="3"/>
      <c r="L4" s="3"/>
    </row>
    <row r="5" spans="1:12" ht="60" x14ac:dyDescent="0.25">
      <c r="A5" s="69" t="s">
        <v>133</v>
      </c>
      <c r="B5" s="57" t="s">
        <v>51</v>
      </c>
      <c r="C5" s="220">
        <v>6064446.4400000004</v>
      </c>
      <c r="D5" s="70">
        <f>SUM(C5-E5)</f>
        <v>895151.44000000041</v>
      </c>
      <c r="E5" s="71">
        <v>5169295</v>
      </c>
      <c r="F5" s="72">
        <v>85.24</v>
      </c>
      <c r="G5" s="57" t="s">
        <v>147</v>
      </c>
      <c r="H5" s="69" t="s">
        <v>209</v>
      </c>
      <c r="I5" s="72" t="s">
        <v>139</v>
      </c>
      <c r="J5" s="68"/>
      <c r="K5" s="3"/>
      <c r="L5" s="3"/>
    </row>
    <row r="6" spans="1:12" ht="60" x14ac:dyDescent="0.25">
      <c r="A6" s="69" t="s">
        <v>131</v>
      </c>
      <c r="B6" s="57" t="s">
        <v>51</v>
      </c>
      <c r="C6" s="220">
        <v>111115.2</v>
      </c>
      <c r="D6" s="70">
        <f>SUM(C6-E6)</f>
        <v>16667.199999999997</v>
      </c>
      <c r="E6" s="71">
        <v>94448</v>
      </c>
      <c r="F6" s="72">
        <v>85</v>
      </c>
      <c r="G6" s="57" t="s">
        <v>147</v>
      </c>
      <c r="H6" s="69" t="s">
        <v>209</v>
      </c>
      <c r="I6" s="72" t="s">
        <v>137</v>
      </c>
      <c r="J6" s="68"/>
      <c r="K6" s="3"/>
      <c r="L6" s="3"/>
    </row>
    <row r="7" spans="1:12" ht="45" x14ac:dyDescent="0.25">
      <c r="A7" s="69" t="s">
        <v>132</v>
      </c>
      <c r="B7" s="57" t="s">
        <v>51</v>
      </c>
      <c r="C7" s="220">
        <v>1161765.95</v>
      </c>
      <c r="D7" s="70">
        <f>SUM(C7-E7)</f>
        <v>174264.94999999995</v>
      </c>
      <c r="E7" s="71">
        <v>987501</v>
      </c>
      <c r="F7" s="72">
        <v>85</v>
      </c>
      <c r="G7" s="57" t="s">
        <v>147</v>
      </c>
      <c r="H7" s="69" t="s">
        <v>209</v>
      </c>
      <c r="I7" s="72" t="s">
        <v>138</v>
      </c>
      <c r="J7" s="68"/>
      <c r="K7" s="3"/>
      <c r="L7" s="3"/>
    </row>
    <row r="8" spans="1:12" ht="51" x14ac:dyDescent="0.2">
      <c r="A8" s="35" t="s">
        <v>53</v>
      </c>
      <c r="B8" s="9" t="s">
        <v>42</v>
      </c>
      <c r="C8" s="205" t="s">
        <v>54</v>
      </c>
      <c r="D8" s="19">
        <v>0</v>
      </c>
      <c r="E8" s="206" t="s">
        <v>54</v>
      </c>
      <c r="F8" s="206"/>
      <c r="G8" s="10" t="s">
        <v>52</v>
      </c>
      <c r="H8" s="10" t="s">
        <v>55</v>
      </c>
      <c r="I8" s="10" t="s">
        <v>56</v>
      </c>
      <c r="J8" s="3"/>
      <c r="K8" s="3"/>
      <c r="L8" s="3"/>
    </row>
    <row r="9" spans="1:12" ht="38.25" x14ac:dyDescent="0.2">
      <c r="A9" s="36" t="s">
        <v>22</v>
      </c>
      <c r="B9" s="9" t="s">
        <v>51</v>
      </c>
      <c r="C9" s="205">
        <v>331105.88</v>
      </c>
      <c r="D9" s="18">
        <f>C9-E9</f>
        <v>49666.080000000016</v>
      </c>
      <c r="E9" s="18">
        <v>281439.8</v>
      </c>
      <c r="F9" s="18"/>
      <c r="G9" s="10" t="s">
        <v>80</v>
      </c>
      <c r="H9" s="16" t="s">
        <v>55</v>
      </c>
      <c r="I9" s="22" t="s">
        <v>79</v>
      </c>
    </row>
    <row r="10" spans="1:12" ht="38.25" x14ac:dyDescent="0.2">
      <c r="A10" s="38" t="s">
        <v>57</v>
      </c>
      <c r="B10" s="10" t="s">
        <v>96</v>
      </c>
      <c r="C10" s="207">
        <v>34030.589999999997</v>
      </c>
      <c r="D10" s="208">
        <f>C10-E10</f>
        <v>5570.8199999999961</v>
      </c>
      <c r="E10" s="209">
        <v>28459.77</v>
      </c>
      <c r="F10" s="209"/>
      <c r="G10" s="10" t="s">
        <v>78</v>
      </c>
      <c r="H10" s="8" t="s">
        <v>55</v>
      </c>
      <c r="I10" s="23" t="s">
        <v>58</v>
      </c>
    </row>
    <row r="11" spans="1:12" ht="63.75" x14ac:dyDescent="0.2">
      <c r="A11" s="43" t="s">
        <v>60</v>
      </c>
      <c r="B11" s="10" t="s">
        <v>96</v>
      </c>
      <c r="C11" s="210">
        <v>55012.480000000003</v>
      </c>
      <c r="D11" s="211">
        <f>C11-E11</f>
        <v>26241.040000000005</v>
      </c>
      <c r="E11" s="212">
        <v>28771.439999999999</v>
      </c>
      <c r="F11" s="212"/>
      <c r="G11" s="12" t="s">
        <v>78</v>
      </c>
      <c r="H11" s="7" t="s">
        <v>59</v>
      </c>
      <c r="I11" s="48" t="s">
        <v>61</v>
      </c>
    </row>
    <row r="12" spans="1:12" ht="42" customHeight="1" x14ac:dyDescent="0.2">
      <c r="A12" s="37" t="s">
        <v>25</v>
      </c>
      <c r="B12" s="8" t="s">
        <v>42</v>
      </c>
      <c r="C12" s="207">
        <v>423488</v>
      </c>
      <c r="D12" s="208">
        <v>0</v>
      </c>
      <c r="E12" s="209">
        <v>423488</v>
      </c>
      <c r="F12" s="209"/>
      <c r="G12" s="10" t="s">
        <v>52</v>
      </c>
      <c r="H12" s="8" t="s">
        <v>55</v>
      </c>
      <c r="I12" s="23" t="s">
        <v>50</v>
      </c>
    </row>
    <row r="13" spans="1:12" ht="44.25" customHeight="1" x14ac:dyDescent="0.2">
      <c r="A13" s="39" t="s">
        <v>63</v>
      </c>
      <c r="B13" s="10" t="s">
        <v>96</v>
      </c>
      <c r="C13" s="207">
        <f>E13/90%</f>
        <v>33333.333333333336</v>
      </c>
      <c r="D13" s="208">
        <f>C13-E13</f>
        <v>3333.3333333333358</v>
      </c>
      <c r="E13" s="209">
        <v>30000</v>
      </c>
      <c r="F13" s="209"/>
      <c r="G13" s="10" t="s">
        <v>65</v>
      </c>
      <c r="H13" s="7" t="s">
        <v>59</v>
      </c>
      <c r="I13" s="24" t="s">
        <v>97</v>
      </c>
    </row>
    <row r="14" spans="1:12" ht="63.75" customHeight="1" x14ac:dyDescent="0.2">
      <c r="A14" s="39" t="s">
        <v>64</v>
      </c>
      <c r="B14" s="10" t="s">
        <v>96</v>
      </c>
      <c r="C14" s="207">
        <f>E14/90%</f>
        <v>34070</v>
      </c>
      <c r="D14" s="208">
        <f>C14-E14</f>
        <v>3407</v>
      </c>
      <c r="E14" s="209">
        <v>30663</v>
      </c>
      <c r="F14" s="209"/>
      <c r="G14" s="10" t="s">
        <v>65</v>
      </c>
      <c r="H14" s="7" t="s">
        <v>59</v>
      </c>
      <c r="I14" s="25" t="s">
        <v>77</v>
      </c>
    </row>
    <row r="15" spans="1:12" ht="54" customHeight="1" x14ac:dyDescent="0.2">
      <c r="A15" s="39" t="s">
        <v>29</v>
      </c>
      <c r="B15" s="10" t="s">
        <v>96</v>
      </c>
      <c r="C15" s="207">
        <f>E15/90%</f>
        <v>16666.666666666668</v>
      </c>
      <c r="D15" s="208">
        <f>C15-E15</f>
        <v>1666.6666666666679</v>
      </c>
      <c r="E15" s="209">
        <v>15000</v>
      </c>
      <c r="F15" s="209"/>
      <c r="G15" s="10" t="s">
        <v>65</v>
      </c>
      <c r="H15" s="7" t="s">
        <v>95</v>
      </c>
      <c r="I15" s="24" t="s">
        <v>76</v>
      </c>
    </row>
    <row r="16" spans="1:12" ht="89.25" customHeight="1" x14ac:dyDescent="0.2">
      <c r="A16" s="40" t="s">
        <v>66</v>
      </c>
      <c r="B16" s="10" t="s">
        <v>96</v>
      </c>
      <c r="C16" s="213">
        <f>E16/90%</f>
        <v>66655.555555555547</v>
      </c>
      <c r="D16" s="214">
        <f>C16-E16</f>
        <v>6665.5555555555475</v>
      </c>
      <c r="E16" s="214">
        <v>59990</v>
      </c>
      <c r="F16" s="214"/>
      <c r="G16" s="6" t="s">
        <v>69</v>
      </c>
      <c r="H16" s="13" t="s">
        <v>59</v>
      </c>
      <c r="I16" s="26" t="s">
        <v>38</v>
      </c>
    </row>
    <row r="17" spans="1:9" ht="42.75" customHeight="1" x14ac:dyDescent="0.2">
      <c r="A17" s="39" t="s">
        <v>68</v>
      </c>
      <c r="B17" s="10" t="s">
        <v>96</v>
      </c>
      <c r="C17" s="207">
        <v>30000</v>
      </c>
      <c r="D17" s="208">
        <f>-(E17-C17)</f>
        <v>4175</v>
      </c>
      <c r="E17" s="209">
        <v>25825</v>
      </c>
      <c r="F17" s="209"/>
      <c r="G17" s="10" t="s">
        <v>67</v>
      </c>
      <c r="H17" s="7" t="s">
        <v>59</v>
      </c>
      <c r="I17" s="24" t="s">
        <v>71</v>
      </c>
    </row>
    <row r="18" spans="1:9" ht="54.75" customHeight="1" x14ac:dyDescent="0.2">
      <c r="A18" s="39" t="s">
        <v>70</v>
      </c>
      <c r="B18" s="10" t="s">
        <v>96</v>
      </c>
      <c r="C18" s="207">
        <f>85%*6400</f>
        <v>5440</v>
      </c>
      <c r="D18" s="208">
        <f>6400*0.15</f>
        <v>960</v>
      </c>
      <c r="E18" s="209">
        <f>C18+D18</f>
        <v>6400</v>
      </c>
      <c r="F18" s="209"/>
      <c r="G18" s="10" t="s">
        <v>65</v>
      </c>
      <c r="H18" s="7" t="s">
        <v>59</v>
      </c>
      <c r="I18" s="25">
        <v>2010</v>
      </c>
    </row>
    <row r="19" spans="1:9" ht="33" customHeight="1" x14ac:dyDescent="0.2">
      <c r="A19" s="39" t="s">
        <v>20</v>
      </c>
      <c r="B19" s="10" t="s">
        <v>96</v>
      </c>
      <c r="C19" s="207">
        <v>24463</v>
      </c>
      <c r="D19" s="208">
        <f>C19-E19</f>
        <v>2446.2999999999993</v>
      </c>
      <c r="E19" s="209">
        <f>C19*90%</f>
        <v>22016.7</v>
      </c>
      <c r="F19" s="209"/>
      <c r="G19" s="10" t="s">
        <v>65</v>
      </c>
      <c r="H19" s="7" t="s">
        <v>82</v>
      </c>
      <c r="I19" s="24" t="s">
        <v>81</v>
      </c>
    </row>
    <row r="20" spans="1:9" ht="42.75" customHeight="1" x14ac:dyDescent="0.2">
      <c r="A20" s="40" t="s">
        <v>19</v>
      </c>
      <c r="B20" s="5" t="s">
        <v>42</v>
      </c>
      <c r="C20" s="213">
        <v>6386.06</v>
      </c>
      <c r="D20" s="214">
        <v>638.61</v>
      </c>
      <c r="E20" s="214">
        <v>5747.45</v>
      </c>
      <c r="F20" s="214"/>
      <c r="G20" s="5" t="s">
        <v>45</v>
      </c>
      <c r="H20" s="5" t="s">
        <v>55</v>
      </c>
      <c r="I20" s="26" t="s">
        <v>44</v>
      </c>
    </row>
    <row r="21" spans="1:9" ht="33" customHeight="1" x14ac:dyDescent="0.2">
      <c r="A21" s="40" t="s">
        <v>43</v>
      </c>
      <c r="B21" s="5" t="s">
        <v>42</v>
      </c>
      <c r="C21" s="215">
        <v>6079.23</v>
      </c>
      <c r="D21" s="216">
        <v>639.12</v>
      </c>
      <c r="E21" s="216">
        <v>5440.11</v>
      </c>
      <c r="F21" s="216"/>
      <c r="G21" s="5" t="s">
        <v>39</v>
      </c>
      <c r="H21" s="5" t="s">
        <v>55</v>
      </c>
      <c r="I21" s="26" t="s">
        <v>41</v>
      </c>
    </row>
    <row r="22" spans="1:9" ht="33" customHeight="1" x14ac:dyDescent="0.2">
      <c r="A22" s="40" t="s">
        <v>23</v>
      </c>
      <c r="B22" s="11" t="s">
        <v>51</v>
      </c>
      <c r="C22" s="213">
        <v>62405</v>
      </c>
      <c r="D22" s="216">
        <v>10403.83</v>
      </c>
      <c r="E22" s="216">
        <v>52001.17</v>
      </c>
      <c r="F22" s="216"/>
      <c r="G22" s="5" t="s">
        <v>39</v>
      </c>
      <c r="H22" s="5" t="s">
        <v>55</v>
      </c>
      <c r="I22" s="27" t="s">
        <v>40</v>
      </c>
    </row>
    <row r="23" spans="1:9" ht="38.25" customHeight="1" x14ac:dyDescent="0.2">
      <c r="A23" s="40" t="s">
        <v>24</v>
      </c>
      <c r="B23" s="11" t="s">
        <v>51</v>
      </c>
      <c r="C23" s="215">
        <v>11944.95</v>
      </c>
      <c r="D23" s="216">
        <v>1844.95</v>
      </c>
      <c r="E23" s="216">
        <v>10100</v>
      </c>
      <c r="F23" s="216"/>
      <c r="G23" s="5" t="s">
        <v>39</v>
      </c>
      <c r="H23" s="5" t="s">
        <v>55</v>
      </c>
      <c r="I23" s="27" t="s">
        <v>40</v>
      </c>
    </row>
    <row r="24" spans="1:9" ht="38.25" customHeight="1" x14ac:dyDescent="0.2">
      <c r="A24" s="41" t="s">
        <v>116</v>
      </c>
      <c r="B24" s="10" t="s">
        <v>96</v>
      </c>
      <c r="C24" s="217">
        <v>40000</v>
      </c>
      <c r="D24" s="216">
        <v>4000</v>
      </c>
      <c r="E24" s="216">
        <v>36000</v>
      </c>
      <c r="F24" s="216"/>
      <c r="G24" s="5" t="s">
        <v>32</v>
      </c>
      <c r="H24" s="7" t="s">
        <v>82</v>
      </c>
      <c r="I24" s="26" t="s">
        <v>37</v>
      </c>
    </row>
    <row r="25" spans="1:9" ht="33" customHeight="1" x14ac:dyDescent="0.2">
      <c r="A25" s="41" t="s">
        <v>21</v>
      </c>
      <c r="B25" s="10" t="s">
        <v>96</v>
      </c>
      <c r="C25" s="217">
        <v>13596</v>
      </c>
      <c r="D25" s="216">
        <v>1359</v>
      </c>
      <c r="E25" s="216">
        <v>12236</v>
      </c>
      <c r="F25" s="216"/>
      <c r="G25" s="5" t="s">
        <v>32</v>
      </c>
      <c r="H25" s="6" t="s">
        <v>95</v>
      </c>
      <c r="I25" s="28" t="s">
        <v>36</v>
      </c>
    </row>
    <row r="26" spans="1:9" ht="40.5" customHeight="1" x14ac:dyDescent="0.2">
      <c r="A26" s="41" t="s">
        <v>73</v>
      </c>
      <c r="B26" s="10" t="s">
        <v>96</v>
      </c>
      <c r="C26" s="217">
        <v>7440</v>
      </c>
      <c r="D26" s="216">
        <v>744</v>
      </c>
      <c r="E26" s="216">
        <f>C26-D26</f>
        <v>6696</v>
      </c>
      <c r="F26" s="216"/>
      <c r="G26" s="5" t="s">
        <v>32</v>
      </c>
      <c r="H26" s="6" t="s">
        <v>98</v>
      </c>
      <c r="I26" s="26" t="s">
        <v>35</v>
      </c>
    </row>
    <row r="27" spans="1:9" ht="38.25" customHeight="1" x14ac:dyDescent="0.2">
      <c r="A27" s="42" t="s">
        <v>34</v>
      </c>
      <c r="B27" s="10" t="s">
        <v>96</v>
      </c>
      <c r="C27" s="217">
        <v>13500</v>
      </c>
      <c r="D27" s="216">
        <v>1264</v>
      </c>
      <c r="E27" s="216">
        <f>C27-D27</f>
        <v>12236</v>
      </c>
      <c r="F27" s="216"/>
      <c r="G27" s="5" t="s">
        <v>32</v>
      </c>
      <c r="H27" s="6" t="s">
        <v>84</v>
      </c>
      <c r="I27" s="28" t="s">
        <v>33</v>
      </c>
    </row>
    <row r="28" spans="1:9" ht="38.25" customHeight="1" x14ac:dyDescent="0.2">
      <c r="A28" s="42" t="s">
        <v>123</v>
      </c>
      <c r="B28" s="10" t="s">
        <v>96</v>
      </c>
      <c r="C28" s="217">
        <v>72768.800000000003</v>
      </c>
      <c r="D28" s="216">
        <f>C28-E28</f>
        <v>6704.5200000000041</v>
      </c>
      <c r="E28" s="216">
        <v>66064.28</v>
      </c>
      <c r="F28" s="216"/>
      <c r="G28" s="5" t="s">
        <v>121</v>
      </c>
      <c r="H28" s="6" t="s">
        <v>55</v>
      </c>
      <c r="I28" s="28" t="s">
        <v>122</v>
      </c>
    </row>
    <row r="29" spans="1:9" ht="38.25" customHeight="1" x14ac:dyDescent="0.2">
      <c r="A29" s="42" t="s">
        <v>124</v>
      </c>
      <c r="B29" s="10" t="s">
        <v>96</v>
      </c>
      <c r="C29" s="217">
        <v>17785.2</v>
      </c>
      <c r="D29" s="216">
        <f>C29-E29</f>
        <v>0</v>
      </c>
      <c r="E29" s="216">
        <f>C29</f>
        <v>17785.2</v>
      </c>
      <c r="F29" s="216"/>
      <c r="G29" s="5" t="s">
        <v>121</v>
      </c>
      <c r="H29" s="6" t="s">
        <v>55</v>
      </c>
      <c r="I29" s="28" t="s">
        <v>122</v>
      </c>
    </row>
    <row r="30" spans="1:9" ht="38.25" customHeight="1" x14ac:dyDescent="0.2">
      <c r="A30" s="41" t="s">
        <v>2</v>
      </c>
      <c r="B30" s="10" t="s">
        <v>96</v>
      </c>
      <c r="C30" s="213">
        <f>1230565/15.6466</f>
        <v>78647.437782010151</v>
      </c>
      <c r="D30" s="214">
        <f t="shared" ref="D30:D36" si="0">C30-E30</f>
        <v>11797.115667301521</v>
      </c>
      <c r="E30" s="214">
        <f>C30*85%</f>
        <v>66850.32211470863</v>
      </c>
      <c r="F30" s="214"/>
      <c r="G30" s="6" t="s">
        <v>74</v>
      </c>
      <c r="H30" s="5" t="s">
        <v>55</v>
      </c>
      <c r="I30" s="26" t="s">
        <v>75</v>
      </c>
    </row>
    <row r="31" spans="1:9" ht="37.5" customHeight="1" x14ac:dyDescent="0.2">
      <c r="A31" s="41" t="s">
        <v>10</v>
      </c>
      <c r="B31" s="10" t="s">
        <v>96</v>
      </c>
      <c r="C31" s="213">
        <f>896328/15.6466</f>
        <v>57285.800109928037</v>
      </c>
      <c r="D31" s="214">
        <f t="shared" si="0"/>
        <v>5728.5800109928023</v>
      </c>
      <c r="E31" s="214">
        <f>C31*90%</f>
        <v>51557.220098935235</v>
      </c>
      <c r="F31" s="214"/>
      <c r="G31" s="5" t="s">
        <v>67</v>
      </c>
      <c r="H31" s="6" t="s">
        <v>84</v>
      </c>
      <c r="I31" s="26" t="s">
        <v>83</v>
      </c>
    </row>
    <row r="32" spans="1:9" ht="42" customHeight="1" x14ac:dyDescent="0.2">
      <c r="A32" s="41" t="s">
        <v>11</v>
      </c>
      <c r="B32" s="10" t="s">
        <v>96</v>
      </c>
      <c r="C32" s="213">
        <f>541936/15.6466</f>
        <v>34636.023161581434</v>
      </c>
      <c r="D32" s="214">
        <f t="shared" si="0"/>
        <v>5195.4034742372169</v>
      </c>
      <c r="E32" s="214">
        <f>C32*85%</f>
        <v>29440.619687344217</v>
      </c>
      <c r="F32" s="214"/>
      <c r="G32" s="6" t="s">
        <v>74</v>
      </c>
      <c r="H32" s="6" t="s">
        <v>85</v>
      </c>
      <c r="I32" s="26" t="s">
        <v>83</v>
      </c>
    </row>
    <row r="33" spans="1:9" ht="24" customHeight="1" x14ac:dyDescent="0.2">
      <c r="A33" s="41" t="s">
        <v>30</v>
      </c>
      <c r="B33" s="10" t="s">
        <v>96</v>
      </c>
      <c r="C33" s="213">
        <f>360000/15.6466</f>
        <v>23008.193473342453</v>
      </c>
      <c r="D33" s="214">
        <f t="shared" si="0"/>
        <v>2300.8193473342435</v>
      </c>
      <c r="E33" s="214">
        <f>C33*90%</f>
        <v>20707.37412600821</v>
      </c>
      <c r="F33" s="214"/>
      <c r="G33" s="5" t="s">
        <v>67</v>
      </c>
      <c r="H33" s="5" t="s">
        <v>86</v>
      </c>
      <c r="I33" s="26" t="s">
        <v>83</v>
      </c>
    </row>
    <row r="34" spans="1:9" ht="54.75" customHeight="1" x14ac:dyDescent="0.2">
      <c r="A34" s="41" t="s">
        <v>16</v>
      </c>
      <c r="B34" s="10" t="s">
        <v>96</v>
      </c>
      <c r="C34" s="213">
        <f>159289/15.6466</f>
        <v>10180.422583820127</v>
      </c>
      <c r="D34" s="214">
        <f t="shared" si="0"/>
        <v>1018.0422583820127</v>
      </c>
      <c r="E34" s="214">
        <f>C34*90%</f>
        <v>9162.3803254381146</v>
      </c>
      <c r="F34" s="214"/>
      <c r="G34" s="5" t="s">
        <v>67</v>
      </c>
      <c r="H34" s="6" t="s">
        <v>12</v>
      </c>
      <c r="I34" s="26">
        <v>2010</v>
      </c>
    </row>
    <row r="35" spans="1:9" ht="51" customHeight="1" x14ac:dyDescent="0.2">
      <c r="A35" s="41" t="s">
        <v>13</v>
      </c>
      <c r="B35" s="6" t="s">
        <v>99</v>
      </c>
      <c r="C35" s="213">
        <f>249672/15.6466</f>
        <v>15956.949113545435</v>
      </c>
      <c r="D35" s="214">
        <f t="shared" si="0"/>
        <v>2393.6190610100602</v>
      </c>
      <c r="E35" s="214">
        <f>212220/15.6466</f>
        <v>13563.330052535375</v>
      </c>
      <c r="F35" s="214"/>
      <c r="G35" s="6" t="s">
        <v>87</v>
      </c>
      <c r="H35" s="5" t="s">
        <v>55</v>
      </c>
      <c r="I35" s="26">
        <v>2010</v>
      </c>
    </row>
    <row r="36" spans="1:9" ht="32.25" customHeight="1" x14ac:dyDescent="0.2">
      <c r="A36" s="41" t="s">
        <v>14</v>
      </c>
      <c r="B36" s="10" t="s">
        <v>96</v>
      </c>
      <c r="C36" s="213">
        <f>496098/15.6466</f>
        <v>31706.441015939567</v>
      </c>
      <c r="D36" s="214">
        <f t="shared" si="0"/>
        <v>3170.6441015939563</v>
      </c>
      <c r="E36" s="214">
        <f>C36*90%</f>
        <v>28535.79691434561</v>
      </c>
      <c r="F36" s="214"/>
      <c r="G36" s="14" t="s">
        <v>89</v>
      </c>
      <c r="H36" s="6" t="s">
        <v>88</v>
      </c>
      <c r="I36" s="26" t="s">
        <v>71</v>
      </c>
    </row>
    <row r="37" spans="1:9" ht="30" customHeight="1" x14ac:dyDescent="0.2">
      <c r="A37" s="41" t="s">
        <v>17</v>
      </c>
      <c r="B37" s="10" t="s">
        <v>96</v>
      </c>
      <c r="C37" s="213">
        <f>533940/15.6466</f>
        <v>34124.98561987908</v>
      </c>
      <c r="D37" s="214">
        <f t="shared" ref="D37:D53" si="1">C37-E37</f>
        <v>3412.498561987908</v>
      </c>
      <c r="E37" s="214">
        <f>C37*90%</f>
        <v>30712.487057891172</v>
      </c>
      <c r="F37" s="214"/>
      <c r="G37" s="5" t="s">
        <v>67</v>
      </c>
      <c r="H37" s="6" t="s">
        <v>88</v>
      </c>
      <c r="I37" s="26" t="s">
        <v>71</v>
      </c>
    </row>
    <row r="38" spans="1:9" ht="51.75" customHeight="1" x14ac:dyDescent="0.2">
      <c r="A38" s="41" t="s">
        <v>100</v>
      </c>
      <c r="B38" s="10" t="s">
        <v>96</v>
      </c>
      <c r="C38" s="213">
        <v>6710</v>
      </c>
      <c r="D38" s="214">
        <f t="shared" si="1"/>
        <v>671</v>
      </c>
      <c r="E38" s="214">
        <f>C38*90%</f>
        <v>6039</v>
      </c>
      <c r="F38" s="214"/>
      <c r="G38" s="5" t="s">
        <v>67</v>
      </c>
      <c r="H38" s="5" t="s">
        <v>90</v>
      </c>
      <c r="I38" s="26" t="s">
        <v>71</v>
      </c>
    </row>
    <row r="39" spans="1:9" ht="37.5" customHeight="1" x14ac:dyDescent="0.2">
      <c r="A39" s="41" t="s">
        <v>18</v>
      </c>
      <c r="B39" s="10" t="s">
        <v>96</v>
      </c>
      <c r="C39" s="213">
        <f>249500/15.6466</f>
        <v>15945.95630999706</v>
      </c>
      <c r="D39" s="214">
        <f t="shared" si="1"/>
        <v>1594.5956309997055</v>
      </c>
      <c r="E39" s="214">
        <f>C39*90%</f>
        <v>14351.360678997355</v>
      </c>
      <c r="F39" s="214"/>
      <c r="G39" s="5" t="s">
        <v>67</v>
      </c>
      <c r="H39" s="6" t="s">
        <v>84</v>
      </c>
      <c r="I39" s="26" t="s">
        <v>71</v>
      </c>
    </row>
    <row r="40" spans="1:9" ht="30.75" customHeight="1" x14ac:dyDescent="0.2">
      <c r="A40" s="41" t="s">
        <v>15</v>
      </c>
      <c r="B40" s="6" t="s">
        <v>42</v>
      </c>
      <c r="C40" s="213">
        <f>150000/15.6466</f>
        <v>9586.7472805593552</v>
      </c>
      <c r="D40" s="214">
        <f t="shared" si="1"/>
        <v>1438.0120920839036</v>
      </c>
      <c r="E40" s="214">
        <f>C40*85%</f>
        <v>8148.7351884754517</v>
      </c>
      <c r="F40" s="214"/>
      <c r="G40" s="6" t="s">
        <v>92</v>
      </c>
      <c r="H40" s="5" t="s">
        <v>55</v>
      </c>
      <c r="I40" s="26">
        <v>2010</v>
      </c>
    </row>
    <row r="41" spans="1:9" ht="24.75" customHeight="1" x14ac:dyDescent="0.2">
      <c r="A41" s="41" t="s">
        <v>102</v>
      </c>
      <c r="B41" s="6" t="s">
        <v>51</v>
      </c>
      <c r="C41" s="213">
        <f>1992882/15.6466</f>
        <v>127368.37395983792</v>
      </c>
      <c r="D41" s="214">
        <f t="shared" si="1"/>
        <v>19105.256093975695</v>
      </c>
      <c r="E41" s="214">
        <f>C41*85%</f>
        <v>108263.11786586222</v>
      </c>
      <c r="F41" s="214"/>
      <c r="G41" s="6" t="s">
        <v>92</v>
      </c>
      <c r="H41" s="5" t="s">
        <v>55</v>
      </c>
      <c r="I41" s="26" t="s">
        <v>83</v>
      </c>
    </row>
    <row r="42" spans="1:9" ht="90" customHeight="1" x14ac:dyDescent="0.2">
      <c r="A42" s="41" t="s">
        <v>7</v>
      </c>
      <c r="B42" s="6" t="s">
        <v>99</v>
      </c>
      <c r="C42" s="213">
        <f>1109018/15.6466</f>
        <v>70879.168637275827</v>
      </c>
      <c r="D42" s="214">
        <f t="shared" si="1"/>
        <v>10631.894469085928</v>
      </c>
      <c r="E42" s="214">
        <f>942665/15.6466</f>
        <v>60247.274168189899</v>
      </c>
      <c r="F42" s="214"/>
      <c r="G42" s="6" t="s">
        <v>6</v>
      </c>
      <c r="H42" s="6" t="s">
        <v>94</v>
      </c>
      <c r="I42" s="26" t="s">
        <v>83</v>
      </c>
    </row>
    <row r="43" spans="1:9" ht="64.5" customHeight="1" x14ac:dyDescent="0.2">
      <c r="A43" s="41" t="s">
        <v>9</v>
      </c>
      <c r="B43" s="6" t="s">
        <v>99</v>
      </c>
      <c r="C43" s="213">
        <v>25000</v>
      </c>
      <c r="D43" s="214">
        <v>0</v>
      </c>
      <c r="E43" s="214">
        <v>25000</v>
      </c>
      <c r="F43" s="214"/>
      <c r="G43" s="6" t="s">
        <v>8</v>
      </c>
      <c r="H43" s="5" t="s">
        <v>55</v>
      </c>
      <c r="I43" s="26" t="s">
        <v>83</v>
      </c>
    </row>
    <row r="44" spans="1:9" ht="36.75" customHeight="1" x14ac:dyDescent="0.2">
      <c r="A44" s="41" t="s">
        <v>26</v>
      </c>
      <c r="B44" s="10" t="s">
        <v>96</v>
      </c>
      <c r="C44" s="213">
        <f>402085/15.6466</f>
        <v>25697.91520202472</v>
      </c>
      <c r="D44" s="214">
        <f t="shared" si="1"/>
        <v>3854.6872803037077</v>
      </c>
      <c r="E44" s="214">
        <f>C44*85%</f>
        <v>21843.227921721013</v>
      </c>
      <c r="F44" s="214"/>
      <c r="G44" s="6" t="s">
        <v>91</v>
      </c>
      <c r="H44" s="5" t="s">
        <v>55</v>
      </c>
      <c r="I44" s="26">
        <v>2009</v>
      </c>
    </row>
    <row r="45" spans="1:9" ht="33.75" customHeight="1" x14ac:dyDescent="0.2">
      <c r="A45" s="41" t="s">
        <v>27</v>
      </c>
      <c r="B45" s="6" t="s">
        <v>51</v>
      </c>
      <c r="C45" s="213">
        <v>6070</v>
      </c>
      <c r="D45" s="214">
        <f t="shared" si="1"/>
        <v>1214</v>
      </c>
      <c r="E45" s="214">
        <f>C45*80%</f>
        <v>4856</v>
      </c>
      <c r="F45" s="214"/>
      <c r="G45" s="5" t="s">
        <v>93</v>
      </c>
      <c r="H45" s="5" t="s">
        <v>55</v>
      </c>
      <c r="I45" s="26">
        <v>2009</v>
      </c>
    </row>
    <row r="46" spans="1:9" ht="39" customHeight="1" x14ac:dyDescent="0.2">
      <c r="A46" s="41" t="s">
        <v>5</v>
      </c>
      <c r="B46" s="10" t="s">
        <v>96</v>
      </c>
      <c r="C46" s="213">
        <f>33000/15.6466</f>
        <v>2109.0844017230579</v>
      </c>
      <c r="D46" s="214">
        <f t="shared" si="1"/>
        <v>316.36266025845885</v>
      </c>
      <c r="E46" s="214">
        <f>C46*85%</f>
        <v>1792.7217414645991</v>
      </c>
      <c r="F46" s="214"/>
      <c r="G46" s="5" t="s">
        <v>4</v>
      </c>
      <c r="H46" s="5" t="s">
        <v>55</v>
      </c>
      <c r="I46" s="26">
        <v>2009</v>
      </c>
    </row>
    <row r="47" spans="1:9" ht="39" customHeight="1" x14ac:dyDescent="0.2">
      <c r="A47" s="44" t="s">
        <v>109</v>
      </c>
      <c r="B47" s="10" t="s">
        <v>96</v>
      </c>
      <c r="C47" s="218">
        <f>73000/15.6466</f>
        <v>4665.550343205553</v>
      </c>
      <c r="D47" s="214">
        <f t="shared" si="1"/>
        <v>466.55503432055502</v>
      </c>
      <c r="E47" s="219">
        <f t="shared" ref="E47:E52" si="2">C47*90%</f>
        <v>4198.9953088849979</v>
      </c>
      <c r="F47" s="219"/>
      <c r="G47" s="45" t="s">
        <v>65</v>
      </c>
      <c r="H47" s="6" t="s">
        <v>84</v>
      </c>
      <c r="I47" s="46">
        <v>2009</v>
      </c>
    </row>
    <row r="48" spans="1:9" ht="39" customHeight="1" x14ac:dyDescent="0.2">
      <c r="A48" s="44" t="s">
        <v>110</v>
      </c>
      <c r="B48" s="10" t="s">
        <v>96</v>
      </c>
      <c r="C48" s="218">
        <f>300000/15.6466</f>
        <v>19173.49456111871</v>
      </c>
      <c r="D48" s="214">
        <f t="shared" si="1"/>
        <v>1917.3494561118714</v>
      </c>
      <c r="E48" s="219">
        <f t="shared" si="2"/>
        <v>17256.145105006839</v>
      </c>
      <c r="F48" s="219"/>
      <c r="G48" s="45" t="s">
        <v>65</v>
      </c>
      <c r="H48" s="45" t="s">
        <v>111</v>
      </c>
      <c r="I48" s="46">
        <v>2009</v>
      </c>
    </row>
    <row r="49" spans="1:9" ht="39" customHeight="1" x14ac:dyDescent="0.2">
      <c r="A49" s="44" t="s">
        <v>112</v>
      </c>
      <c r="B49" s="10" t="s">
        <v>96</v>
      </c>
      <c r="C49" s="218">
        <f>360000/15.6466</f>
        <v>23008.193473342453</v>
      </c>
      <c r="D49" s="214">
        <f t="shared" si="1"/>
        <v>2300.8193473342435</v>
      </c>
      <c r="E49" s="219">
        <f t="shared" si="2"/>
        <v>20707.37412600821</v>
      </c>
      <c r="F49" s="219"/>
      <c r="G49" s="45" t="s">
        <v>65</v>
      </c>
      <c r="H49" s="47" t="s">
        <v>82</v>
      </c>
      <c r="I49" s="46">
        <v>2009</v>
      </c>
    </row>
    <row r="50" spans="1:9" ht="39" customHeight="1" x14ac:dyDescent="0.2">
      <c r="A50" s="44" t="s">
        <v>113</v>
      </c>
      <c r="B50" s="10" t="s">
        <v>96</v>
      </c>
      <c r="C50" s="218">
        <f>250000/15.6466</f>
        <v>15977.912134265593</v>
      </c>
      <c r="D50" s="214">
        <f t="shared" si="1"/>
        <v>1597.7912134265589</v>
      </c>
      <c r="E50" s="219">
        <f t="shared" si="2"/>
        <v>14380.120920839034</v>
      </c>
      <c r="F50" s="219"/>
      <c r="G50" s="45" t="s">
        <v>114</v>
      </c>
      <c r="H50" s="47" t="s">
        <v>115</v>
      </c>
      <c r="I50" s="46">
        <v>2009</v>
      </c>
    </row>
    <row r="51" spans="1:9" ht="39" customHeight="1" x14ac:dyDescent="0.2">
      <c r="A51" s="44" t="s">
        <v>103</v>
      </c>
      <c r="B51" s="10" t="s">
        <v>96</v>
      </c>
      <c r="C51" s="218">
        <f>1700000/15.6466</f>
        <v>108649.80251300603</v>
      </c>
      <c r="D51" s="214">
        <f t="shared" si="1"/>
        <v>10864.9802513006</v>
      </c>
      <c r="E51" s="219">
        <f t="shared" si="2"/>
        <v>97784.822261705427</v>
      </c>
      <c r="F51" s="219"/>
      <c r="G51" s="45" t="s">
        <v>67</v>
      </c>
      <c r="H51" s="47" t="s">
        <v>82</v>
      </c>
      <c r="I51" s="46" t="s">
        <v>104</v>
      </c>
    </row>
    <row r="52" spans="1:9" ht="39" customHeight="1" x14ac:dyDescent="0.2">
      <c r="A52" s="44" t="s">
        <v>105</v>
      </c>
      <c r="B52" s="10" t="s">
        <v>96</v>
      </c>
      <c r="C52" s="218">
        <f>300000/15.6466</f>
        <v>19173.49456111871</v>
      </c>
      <c r="D52" s="214">
        <f t="shared" si="1"/>
        <v>1917.3494561118714</v>
      </c>
      <c r="E52" s="219">
        <f t="shared" si="2"/>
        <v>17256.145105006839</v>
      </c>
      <c r="F52" s="219"/>
      <c r="G52" s="47" t="s">
        <v>106</v>
      </c>
      <c r="H52" s="47" t="s">
        <v>55</v>
      </c>
      <c r="I52" s="46">
        <v>2008</v>
      </c>
    </row>
    <row r="53" spans="1:9" ht="39" customHeight="1" x14ac:dyDescent="0.2">
      <c r="A53" s="44" t="s">
        <v>107</v>
      </c>
      <c r="B53" s="10" t="s">
        <v>96</v>
      </c>
      <c r="C53" s="218">
        <f>1373000/15.6466</f>
        <v>87750.693441386626</v>
      </c>
      <c r="D53" s="214">
        <f t="shared" si="1"/>
        <v>43875.346720693313</v>
      </c>
      <c r="E53" s="219">
        <f>C53*50%</f>
        <v>43875.346720693313</v>
      </c>
      <c r="F53" s="219"/>
      <c r="G53" s="45" t="s">
        <v>108</v>
      </c>
      <c r="H53" s="47" t="s">
        <v>55</v>
      </c>
      <c r="I53" s="46">
        <v>2008</v>
      </c>
    </row>
    <row r="54" spans="1:9" ht="33" customHeight="1" thickBot="1" x14ac:dyDescent="0.3">
      <c r="A54" s="226" t="s">
        <v>31</v>
      </c>
      <c r="B54" s="227"/>
      <c r="C54" s="33">
        <f>SUM(C5:C53)</f>
        <v>9496810.9752344657</v>
      </c>
      <c r="D54" s="33">
        <f>SUM(D5:D53)</f>
        <v>1354596.1377444025</v>
      </c>
      <c r="E54" s="33">
        <f>SUM(E5:E53)</f>
        <v>8144133.8374900613</v>
      </c>
      <c r="F54" s="33"/>
      <c r="G54" s="29"/>
      <c r="H54" s="29"/>
      <c r="I54" s="30"/>
    </row>
    <row r="55" spans="1:9" ht="33" customHeight="1" x14ac:dyDescent="0.2">
      <c r="A55" s="3"/>
      <c r="B55" s="3"/>
      <c r="C55" s="4"/>
      <c r="D55" s="4"/>
      <c r="E55" s="4"/>
      <c r="F55" s="4"/>
      <c r="G55" s="3"/>
      <c r="H55" s="3"/>
      <c r="I55" s="4"/>
    </row>
    <row r="56" spans="1:9" ht="33" customHeight="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ht="33" customHeight="1" x14ac:dyDescent="0.2">
      <c r="C57" s="2"/>
      <c r="D57" s="2"/>
      <c r="E57" s="2"/>
      <c r="F57" s="2"/>
      <c r="I57" s="2"/>
    </row>
    <row r="58" spans="1:9" ht="33" customHeight="1" x14ac:dyDescent="0.2"/>
    <row r="59" spans="1:9" ht="33" customHeight="1" x14ac:dyDescent="0.2">
      <c r="C59" s="2"/>
      <c r="D59" s="2"/>
      <c r="E59" s="2"/>
      <c r="F59" s="2"/>
      <c r="I59" s="2"/>
    </row>
    <row r="60" spans="1:9" ht="33" customHeight="1" x14ac:dyDescent="0.2"/>
    <row r="61" spans="1:9" ht="33" customHeight="1" x14ac:dyDescent="0.2">
      <c r="C61" s="2"/>
      <c r="D61" s="2"/>
      <c r="E61" s="2"/>
      <c r="F61" s="2"/>
      <c r="I61" s="2"/>
    </row>
    <row r="62" spans="1:9" ht="33" customHeight="1" x14ac:dyDescent="0.2"/>
    <row r="63" spans="1:9" ht="33" customHeight="1" x14ac:dyDescent="0.2">
      <c r="C63" s="2"/>
      <c r="D63" s="2"/>
      <c r="E63" s="2"/>
      <c r="F63" s="2"/>
      <c r="I63" s="2"/>
    </row>
    <row r="64" spans="1:9" ht="33" customHeight="1" x14ac:dyDescent="0.2"/>
    <row r="65" spans="3:9" ht="33" customHeight="1" x14ac:dyDescent="0.2">
      <c r="C65" s="2"/>
      <c r="D65" s="2"/>
      <c r="E65" s="2"/>
      <c r="F65" s="2"/>
      <c r="I65" s="2"/>
    </row>
    <row r="66" spans="3:9" ht="33" customHeight="1" x14ac:dyDescent="0.2"/>
    <row r="67" spans="3:9" ht="33" customHeight="1" x14ac:dyDescent="0.2">
      <c r="C67" s="2"/>
      <c r="D67" s="2"/>
      <c r="E67" s="2"/>
      <c r="F67" s="2"/>
      <c r="I67" s="2"/>
    </row>
    <row r="68" spans="3:9" ht="33" customHeight="1" x14ac:dyDescent="0.2"/>
    <row r="69" spans="3:9" ht="33" customHeight="1" x14ac:dyDescent="0.2">
      <c r="C69" s="2"/>
      <c r="D69" s="2"/>
      <c r="E69" s="2"/>
      <c r="F69" s="2"/>
      <c r="I69" s="2"/>
    </row>
    <row r="70" spans="3:9" ht="33" customHeight="1" x14ac:dyDescent="0.2"/>
    <row r="71" spans="3:9" ht="33" customHeight="1" x14ac:dyDescent="0.2">
      <c r="D71" s="2"/>
      <c r="E71" s="2"/>
      <c r="F71" s="2"/>
    </row>
    <row r="72" spans="3:9" ht="33" customHeight="1" x14ac:dyDescent="0.2"/>
    <row r="73" spans="3:9" ht="33" customHeight="1" x14ac:dyDescent="0.2">
      <c r="C73" s="2"/>
      <c r="E73" s="2"/>
      <c r="F73" s="2"/>
    </row>
    <row r="74" spans="3:9" ht="33" customHeight="1" x14ac:dyDescent="0.2"/>
    <row r="75" spans="3:9" ht="33" customHeight="1" x14ac:dyDescent="0.2"/>
    <row r="76" spans="3:9" ht="33" customHeight="1" x14ac:dyDescent="0.2">
      <c r="C76" s="2"/>
      <c r="D76" s="2"/>
      <c r="E76" s="2"/>
      <c r="F76" s="2"/>
      <c r="I76" s="2"/>
    </row>
    <row r="77" spans="3:9" ht="33" customHeight="1" x14ac:dyDescent="0.2"/>
    <row r="78" spans="3:9" ht="33" customHeight="1" x14ac:dyDescent="0.2">
      <c r="C78" s="2"/>
      <c r="D78" s="2"/>
      <c r="E78" s="2"/>
      <c r="F78" s="2"/>
      <c r="I78" s="2"/>
    </row>
    <row r="79" spans="3:9" ht="33" customHeight="1" x14ac:dyDescent="0.2"/>
    <row r="80" spans="3:9" ht="33" customHeight="1" x14ac:dyDescent="0.2">
      <c r="C80" s="2"/>
      <c r="D80" s="2"/>
      <c r="E80" s="2"/>
      <c r="F80" s="2"/>
      <c r="I80" s="2"/>
    </row>
    <row r="81" spans="3:9" ht="33" customHeight="1" x14ac:dyDescent="0.2"/>
    <row r="82" spans="3:9" ht="33" customHeight="1" x14ac:dyDescent="0.2">
      <c r="C82" s="2"/>
      <c r="D82" s="2"/>
      <c r="E82" s="2"/>
      <c r="F82" s="2"/>
      <c r="I82" s="2"/>
    </row>
    <row r="83" spans="3:9" ht="33" customHeight="1" x14ac:dyDescent="0.2"/>
    <row r="84" spans="3:9" ht="33" customHeight="1" x14ac:dyDescent="0.2">
      <c r="C84" s="2"/>
      <c r="D84" s="2"/>
      <c r="E84" s="2"/>
      <c r="F84" s="2"/>
      <c r="I84" s="2"/>
    </row>
    <row r="85" spans="3:9" ht="33" customHeight="1" x14ac:dyDescent="0.2"/>
    <row r="86" spans="3:9" ht="33" customHeight="1" x14ac:dyDescent="0.2">
      <c r="C86" s="2"/>
      <c r="D86" s="2"/>
      <c r="E86" s="2"/>
      <c r="F86" s="2"/>
      <c r="I86" s="2"/>
    </row>
    <row r="87" spans="3:9" ht="33" customHeight="1" x14ac:dyDescent="0.2"/>
    <row r="88" spans="3:9" ht="33" customHeight="1" x14ac:dyDescent="0.2">
      <c r="C88" s="2"/>
      <c r="D88" s="2"/>
      <c r="E88" s="2"/>
      <c r="F88" s="2"/>
      <c r="I88" s="2"/>
    </row>
    <row r="89" spans="3:9" ht="33" customHeight="1" x14ac:dyDescent="0.2"/>
    <row r="90" spans="3:9" ht="33" customHeight="1" x14ac:dyDescent="0.2">
      <c r="C90" s="2"/>
      <c r="E90" s="2"/>
      <c r="F90" s="2"/>
    </row>
    <row r="91" spans="3:9" ht="33" customHeight="1" x14ac:dyDescent="0.2"/>
    <row r="92" spans="3:9" ht="33" customHeight="1" x14ac:dyDescent="0.2"/>
    <row r="93" spans="3:9" ht="33" customHeight="1" x14ac:dyDescent="0.2"/>
    <row r="94" spans="3:9" ht="33" customHeight="1" x14ac:dyDescent="0.2"/>
    <row r="95" spans="3:9" ht="33" customHeight="1" x14ac:dyDescent="0.2"/>
    <row r="96" spans="3:9" ht="33" customHeight="1" x14ac:dyDescent="0.2"/>
    <row r="97" ht="33" customHeight="1" x14ac:dyDescent="0.2"/>
    <row r="98" ht="33" customHeight="1" x14ac:dyDescent="0.2"/>
    <row r="99" ht="33" customHeight="1" x14ac:dyDescent="0.2"/>
    <row r="100" ht="33" customHeight="1" x14ac:dyDescent="0.2"/>
    <row r="101" ht="33" customHeight="1" x14ac:dyDescent="0.2"/>
    <row r="102" ht="33" customHeight="1" x14ac:dyDescent="0.2"/>
    <row r="103" ht="33" customHeight="1" x14ac:dyDescent="0.2"/>
    <row r="104" ht="33" customHeight="1" x14ac:dyDescent="0.2"/>
  </sheetData>
  <mergeCells count="1">
    <mergeCell ref="A54:B54"/>
  </mergeCells>
  <hyperlinks>
    <hyperlink ref="A12" r:id="rId1" xr:uid="{00000000-0004-0000-0100-000000000000}"/>
    <hyperlink ref="A8" r:id="rId2" xr:uid="{00000000-0004-0000-0100-000001000000}"/>
  </hyperlinks>
  <pageMargins left="0.75" right="0.75" top="1" bottom="1" header="0.5" footer="0.5"/>
  <pageSetup paperSize="9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"/>
  <sheetViews>
    <sheetView workbookViewId="0">
      <selection activeCell="C12" sqref="C12:E12"/>
    </sheetView>
  </sheetViews>
  <sheetFormatPr defaultRowHeight="12.75" x14ac:dyDescent="0.2"/>
  <cols>
    <col min="1" max="1" width="27.140625" customWidth="1"/>
    <col min="2" max="2" width="14.5703125" customWidth="1"/>
    <col min="3" max="3" width="15.85546875" customWidth="1"/>
    <col min="4" max="4" width="15.140625" customWidth="1"/>
    <col min="5" max="5" width="16.140625" customWidth="1"/>
    <col min="6" max="6" width="10.28515625" customWidth="1"/>
    <col min="7" max="7" width="11.85546875" customWidth="1"/>
    <col min="8" max="8" width="12.5703125" customWidth="1"/>
    <col min="9" max="9" width="21.85546875" customWidth="1"/>
  </cols>
  <sheetData>
    <row r="2" spans="1:10" ht="13.5" thickBot="1" x14ac:dyDescent="0.25"/>
    <row r="3" spans="1:10" ht="25.5" x14ac:dyDescent="0.2">
      <c r="A3" s="34" t="s">
        <v>0</v>
      </c>
      <c r="B3" s="20" t="s">
        <v>48</v>
      </c>
      <c r="C3" s="32" t="s">
        <v>130</v>
      </c>
      <c r="D3" s="20" t="s">
        <v>1</v>
      </c>
      <c r="E3" s="21" t="s">
        <v>129</v>
      </c>
      <c r="F3" s="21" t="s">
        <v>128</v>
      </c>
      <c r="G3" s="20" t="s">
        <v>47</v>
      </c>
      <c r="H3" s="21" t="s">
        <v>49</v>
      </c>
      <c r="I3" s="20" t="s">
        <v>46</v>
      </c>
      <c r="J3" s="31" t="s">
        <v>62</v>
      </c>
    </row>
    <row r="4" spans="1:10" x14ac:dyDescent="0.2">
      <c r="A4" s="73"/>
      <c r="B4" s="9"/>
      <c r="C4" s="73"/>
      <c r="D4" s="9"/>
      <c r="E4" s="10"/>
      <c r="F4" s="10"/>
      <c r="G4" s="9"/>
      <c r="H4" s="10"/>
      <c r="I4" s="9"/>
      <c r="J4" s="14"/>
    </row>
    <row r="5" spans="1:10" ht="25.5" x14ac:dyDescent="0.2">
      <c r="A5" s="61" t="s">
        <v>186</v>
      </c>
      <c r="B5" s="56"/>
      <c r="C5" s="74">
        <v>780516.26</v>
      </c>
      <c r="D5" s="75">
        <f>SUM(C5-E5)</f>
        <v>0.26000000000931323</v>
      </c>
      <c r="E5" s="75">
        <v>780516</v>
      </c>
      <c r="F5" s="56">
        <v>100</v>
      </c>
      <c r="G5" s="56" t="s">
        <v>147</v>
      </c>
      <c r="H5" s="57" t="s">
        <v>196</v>
      </c>
      <c r="I5" s="56" t="s">
        <v>187</v>
      </c>
      <c r="J5" s="56"/>
    </row>
    <row r="6" spans="1:10" ht="25.5" x14ac:dyDescent="0.2">
      <c r="A6" s="61" t="s">
        <v>188</v>
      </c>
      <c r="B6" s="56"/>
      <c r="C6" s="74">
        <v>89249.78</v>
      </c>
      <c r="D6" s="75">
        <f>SUM(C6-E6)</f>
        <v>8933.7799999999988</v>
      </c>
      <c r="E6" s="75">
        <v>80316</v>
      </c>
      <c r="F6" s="56">
        <v>89.99</v>
      </c>
      <c r="G6" s="56" t="s">
        <v>197</v>
      </c>
      <c r="H6" s="57" t="s">
        <v>196</v>
      </c>
      <c r="I6" s="56" t="s">
        <v>189</v>
      </c>
      <c r="J6" s="56"/>
    </row>
    <row r="7" spans="1:10" ht="25.5" x14ac:dyDescent="0.2">
      <c r="A7" s="76" t="s">
        <v>190</v>
      </c>
      <c r="B7" s="77"/>
      <c r="C7" s="58">
        <v>1309058.6100000001</v>
      </c>
      <c r="D7" s="59">
        <f>SUM(C7-E7)</f>
        <v>209449.6100000001</v>
      </c>
      <c r="E7" s="59">
        <v>1099609</v>
      </c>
      <c r="F7" s="77">
        <v>84</v>
      </c>
      <c r="G7" s="77" t="s">
        <v>146</v>
      </c>
      <c r="H7" s="77" t="s">
        <v>196</v>
      </c>
      <c r="I7" s="77" t="s">
        <v>191</v>
      </c>
      <c r="J7" s="56"/>
    </row>
    <row r="8" spans="1:10" ht="25.5" x14ac:dyDescent="0.2">
      <c r="A8" s="61" t="s">
        <v>192</v>
      </c>
      <c r="B8" s="56"/>
      <c r="C8" s="74">
        <v>272604.59000000003</v>
      </c>
      <c r="D8" s="75">
        <f>SUM(C8-E8)</f>
        <v>54520.590000000026</v>
      </c>
      <c r="E8" s="75">
        <v>218084</v>
      </c>
      <c r="F8" s="56">
        <v>80</v>
      </c>
      <c r="G8" s="56" t="s">
        <v>198</v>
      </c>
      <c r="H8" s="57" t="s">
        <v>196</v>
      </c>
      <c r="I8" s="56" t="s">
        <v>193</v>
      </c>
      <c r="J8" s="56"/>
    </row>
    <row r="9" spans="1:10" ht="51" x14ac:dyDescent="0.2">
      <c r="A9" s="76" t="s">
        <v>194</v>
      </c>
      <c r="B9" s="77"/>
      <c r="C9" s="58">
        <v>2950</v>
      </c>
      <c r="D9" s="59">
        <f>SUM(C9-E9)</f>
        <v>295</v>
      </c>
      <c r="E9" s="59">
        <v>2655</v>
      </c>
      <c r="F9" s="77">
        <v>90</v>
      </c>
      <c r="G9" s="77" t="s">
        <v>147</v>
      </c>
      <c r="H9" s="77" t="s">
        <v>196</v>
      </c>
      <c r="I9" s="77" t="s">
        <v>195</v>
      </c>
      <c r="J9" s="56"/>
    </row>
    <row r="10" spans="1:10" x14ac:dyDescent="0.2">
      <c r="A10" s="77" t="s">
        <v>234</v>
      </c>
      <c r="B10" s="77"/>
      <c r="C10" s="78">
        <v>1032000</v>
      </c>
      <c r="D10" s="79">
        <v>103200</v>
      </c>
      <c r="E10" s="79">
        <v>928800</v>
      </c>
      <c r="F10" s="77"/>
      <c r="G10" s="77"/>
      <c r="H10" s="77"/>
      <c r="I10" s="77" t="s">
        <v>83</v>
      </c>
      <c r="J10" s="56"/>
    </row>
    <row r="12" spans="1:10" x14ac:dyDescent="0.2">
      <c r="B12" s="50" t="s">
        <v>249</v>
      </c>
      <c r="C12" s="55">
        <f>SUM(C5:C7,C9:C10)</f>
        <v>3213774.6500000004</v>
      </c>
      <c r="D12" s="55">
        <f t="shared" ref="D12:E12" si="0">SUM(D5:D7,D9:D10)</f>
        <v>321878.65000000014</v>
      </c>
      <c r="E12" s="55">
        <f t="shared" si="0"/>
        <v>2891896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6"/>
  <sheetViews>
    <sheetView workbookViewId="0">
      <selection activeCell="N27" sqref="N27"/>
    </sheetView>
  </sheetViews>
  <sheetFormatPr defaultRowHeight="12.75" x14ac:dyDescent="0.2"/>
  <cols>
    <col min="1" max="1" width="18.5703125" customWidth="1"/>
    <col min="2" max="2" width="16.28515625" customWidth="1"/>
    <col min="3" max="3" width="16" customWidth="1"/>
    <col min="4" max="4" width="15.85546875" customWidth="1"/>
    <col min="5" max="5" width="15.140625" customWidth="1"/>
    <col min="6" max="6" width="10.140625" customWidth="1"/>
    <col min="7" max="7" width="13.7109375" customWidth="1"/>
    <col min="8" max="8" width="15.5703125" customWidth="1"/>
    <col min="9" max="9" width="16" customWidth="1"/>
  </cols>
  <sheetData>
    <row r="2" spans="1:10" ht="13.5" thickBot="1" x14ac:dyDescent="0.25"/>
    <row r="3" spans="1:10" ht="25.5" x14ac:dyDescent="0.2">
      <c r="A3" s="34" t="s">
        <v>0</v>
      </c>
      <c r="B3" s="20" t="s">
        <v>48</v>
      </c>
      <c r="C3" s="32" t="s">
        <v>130</v>
      </c>
      <c r="D3" s="20" t="s">
        <v>1</v>
      </c>
      <c r="E3" s="21" t="s">
        <v>129</v>
      </c>
      <c r="F3" s="21" t="s">
        <v>128</v>
      </c>
      <c r="G3" s="20" t="s">
        <v>47</v>
      </c>
      <c r="H3" s="21" t="s">
        <v>49</v>
      </c>
      <c r="I3" s="20" t="s">
        <v>46</v>
      </c>
      <c r="J3" s="31" t="s">
        <v>62</v>
      </c>
    </row>
    <row r="4" spans="1:10" ht="30" x14ac:dyDescent="0.25">
      <c r="A4" s="49" t="s">
        <v>199</v>
      </c>
      <c r="C4" s="52">
        <v>110641.2</v>
      </c>
      <c r="D4" s="54">
        <f>SUM(C4-E4)</f>
        <v>0.19999999999708962</v>
      </c>
      <c r="E4" s="51">
        <v>110641</v>
      </c>
      <c r="F4">
        <v>100</v>
      </c>
      <c r="G4" s="50" t="s">
        <v>147</v>
      </c>
      <c r="H4" s="50" t="s">
        <v>203</v>
      </c>
      <c r="I4" s="60" t="s">
        <v>201</v>
      </c>
    </row>
    <row r="5" spans="1:10" ht="45" x14ac:dyDescent="0.25">
      <c r="A5" s="49" t="s">
        <v>200</v>
      </c>
      <c r="C5" s="52">
        <v>60715.94</v>
      </c>
      <c r="D5" s="54">
        <f>SUM(C5-E5)</f>
        <v>24132.940000000002</v>
      </c>
      <c r="E5" s="51">
        <v>36583</v>
      </c>
      <c r="F5">
        <v>60.25</v>
      </c>
      <c r="G5" s="50" t="s">
        <v>198</v>
      </c>
      <c r="H5" s="50" t="s">
        <v>203</v>
      </c>
      <c r="I5" s="60" t="s">
        <v>202</v>
      </c>
    </row>
    <row r="6" spans="1:10" x14ac:dyDescent="0.2">
      <c r="C6">
        <f>SUM(C4:C5)</f>
        <v>171357.14</v>
      </c>
      <c r="D6" s="54">
        <f>SUM(D4:D5)</f>
        <v>24133.14</v>
      </c>
      <c r="E6" s="54">
        <f>SUM(E4:E5)</f>
        <v>147224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Põltsamaa vald UUS</vt:lpstr>
      <vt:lpstr>Põltsamaa linn 2007-2016</vt:lpstr>
      <vt:lpstr>Põltsamaa vald_endine</vt:lpstr>
      <vt:lpstr>Puurmani 05-16</vt:lpstr>
      <vt:lpstr>Pajusi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Klaos</dc:creator>
  <cp:lastModifiedBy>Raivo Suni</cp:lastModifiedBy>
  <dcterms:created xsi:type="dcterms:W3CDTF">1996-10-14T23:33:28Z</dcterms:created>
  <dcterms:modified xsi:type="dcterms:W3CDTF">2019-10-24T12:26:05Z</dcterms:modified>
</cp:coreProperties>
</file>